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520" windowHeight="12855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1" r:id="rId18"/>
    <sheet name="18" sheetId="99" r:id="rId19"/>
    <sheet name="19" sheetId="100" r:id="rId20"/>
    <sheet name="20" sheetId="102" r:id="rId21"/>
    <sheet name="21" sheetId="103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'1'!$A$1:$C$30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'17'!$A$1:$E$53</definedName>
    <definedName name="_xlnm.Print_Area" localSheetId="18">'18'!$A$1:$G$52</definedName>
    <definedName name="_xlnm.Print_Area" localSheetId="19">'19'!$A$1:$M$30</definedName>
    <definedName name="_xlnm.Print_Area" localSheetId="2">'2'!$A$1:$D$44</definedName>
    <definedName name="_xlnm.Print_Area" localSheetId="20">'20'!$A$1:$K$33</definedName>
    <definedName name="_xlnm.Print_Area" localSheetId="21">'21'!$A$1:$N$38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U3" i="68" l="1"/>
  <c r="U4" i="68"/>
  <c r="U5" i="68"/>
  <c r="U6" i="68"/>
  <c r="U7" i="68"/>
  <c r="U8" i="68"/>
  <c r="U9" i="68"/>
  <c r="U10" i="68"/>
  <c r="U11" i="68"/>
  <c r="U12" i="68"/>
  <c r="U13" i="68"/>
  <c r="U14" i="68"/>
  <c r="U15" i="68"/>
  <c r="U16" i="68"/>
  <c r="U17" i="68"/>
  <c r="U18" i="68"/>
  <c r="U19" i="68"/>
  <c r="U20" i="68"/>
  <c r="U21" i="68"/>
  <c r="U22" i="68"/>
  <c r="U23" i="68"/>
  <c r="U24" i="68"/>
  <c r="U25" i="68"/>
  <c r="U26" i="68"/>
  <c r="U27" i="68"/>
  <c r="U28" i="68"/>
  <c r="U29" i="68"/>
  <c r="U30" i="68"/>
  <c r="U31" i="68"/>
  <c r="U32" i="68"/>
  <c r="U33" i="68"/>
  <c r="U34" i="68"/>
  <c r="U35" i="68"/>
  <c r="U36" i="68"/>
  <c r="U37" i="68"/>
  <c r="U38" i="68"/>
  <c r="U39" i="68"/>
  <c r="U40" i="68"/>
  <c r="U41" i="68"/>
  <c r="U42" i="68"/>
  <c r="U43" i="68"/>
  <c r="U44" i="68"/>
  <c r="U45" i="68"/>
  <c r="U46" i="68"/>
  <c r="U47" i="68"/>
  <c r="U48" i="68"/>
  <c r="U49" i="68"/>
  <c r="U50" i="68"/>
  <c r="U51" i="68"/>
  <c r="U52" i="68"/>
  <c r="U53" i="68"/>
  <c r="U54" i="68"/>
  <c r="U55" i="68"/>
  <c r="U56" i="68"/>
  <c r="U57" i="68"/>
  <c r="U58" i="68"/>
  <c r="U59" i="68"/>
  <c r="U60" i="68"/>
  <c r="U61" i="68"/>
  <c r="U62" i="68"/>
  <c r="U63" i="68"/>
  <c r="U64" i="68"/>
  <c r="U65" i="68"/>
  <c r="U66" i="68"/>
  <c r="U67" i="68"/>
  <c r="U68" i="68"/>
  <c r="U69" i="68"/>
  <c r="U70" i="68"/>
  <c r="U71" i="68"/>
  <c r="U72" i="68"/>
  <c r="U73" i="68"/>
  <c r="U74" i="68"/>
  <c r="U75" i="68"/>
  <c r="U76" i="68"/>
  <c r="U77" i="68"/>
  <c r="U78" i="68"/>
  <c r="U79" i="68"/>
  <c r="U80" i="68"/>
  <c r="U81" i="68"/>
  <c r="U82" i="68"/>
  <c r="U83" i="68"/>
  <c r="U84" i="68"/>
  <c r="U85" i="68"/>
  <c r="U86" i="68"/>
  <c r="U87" i="68"/>
  <c r="U88" i="68"/>
  <c r="U89" i="68"/>
  <c r="U90" i="68"/>
  <c r="U91" i="68"/>
  <c r="U92" i="68"/>
  <c r="U93" i="68"/>
  <c r="U94" i="68"/>
  <c r="U95" i="68"/>
  <c r="U96" i="68"/>
  <c r="U97" i="68"/>
  <c r="U98" i="68"/>
  <c r="U99" i="68"/>
  <c r="U100" i="68"/>
  <c r="U101" i="68"/>
  <c r="U102" i="68"/>
  <c r="U103" i="68"/>
  <c r="U104" i="68"/>
  <c r="U105" i="68"/>
  <c r="U106" i="68"/>
  <c r="U107" i="68"/>
  <c r="U108" i="68"/>
  <c r="U109" i="68"/>
  <c r="U110" i="68"/>
  <c r="U111" i="68"/>
  <c r="U112" i="68"/>
  <c r="U113" i="68"/>
  <c r="U114" i="68"/>
  <c r="U115" i="68"/>
  <c r="U116" i="68"/>
  <c r="U117" i="68"/>
  <c r="U118" i="68"/>
  <c r="U119" i="68"/>
  <c r="U120" i="68"/>
  <c r="U121" i="68"/>
  <c r="U122" i="68"/>
  <c r="U123" i="68"/>
  <c r="U124" i="68"/>
  <c r="U125" i="68"/>
  <c r="U126" i="68"/>
  <c r="U127" i="68"/>
  <c r="U128" i="68"/>
  <c r="U129" i="68"/>
  <c r="U130" i="68"/>
  <c r="U131" i="68"/>
  <c r="U132" i="68"/>
  <c r="U133" i="68"/>
  <c r="U134" i="68"/>
  <c r="U135" i="68"/>
  <c r="U136" i="68"/>
  <c r="U137" i="68"/>
  <c r="U138" i="68"/>
  <c r="U139" i="68"/>
  <c r="U140" i="68"/>
  <c r="U141" i="68"/>
  <c r="U142" i="68"/>
  <c r="U143" i="68"/>
  <c r="U144" i="68"/>
  <c r="U145" i="68"/>
  <c r="U146" i="68"/>
  <c r="U147" i="68"/>
  <c r="U148" i="68"/>
  <c r="U149" i="68"/>
  <c r="U150" i="68"/>
  <c r="U151" i="68"/>
  <c r="U152" i="68"/>
  <c r="U153" i="68"/>
  <c r="U154" i="68"/>
  <c r="U155" i="68"/>
  <c r="U156" i="68"/>
  <c r="U157" i="68"/>
  <c r="U158" i="68"/>
  <c r="U159" i="68"/>
  <c r="U160" i="68"/>
  <c r="U161" i="68"/>
  <c r="U162" i="68"/>
  <c r="U163" i="68"/>
  <c r="U164" i="68"/>
  <c r="U165" i="68"/>
  <c r="U166" i="68"/>
  <c r="U167" i="68"/>
  <c r="U168" i="68"/>
  <c r="U169" i="68"/>
  <c r="U170" i="68"/>
  <c r="U171" i="68"/>
  <c r="U172" i="68"/>
  <c r="U173" i="68"/>
  <c r="U174" i="68"/>
  <c r="U175" i="68"/>
  <c r="U176" i="68"/>
  <c r="U177" i="68"/>
  <c r="U178" i="68"/>
  <c r="U179" i="68"/>
  <c r="U180" i="68"/>
  <c r="U181" i="68"/>
  <c r="U182" i="68"/>
  <c r="U183" i="68"/>
  <c r="U184" i="68"/>
  <c r="U185" i="68"/>
  <c r="U186" i="68"/>
  <c r="U187" i="68"/>
  <c r="U188" i="68"/>
  <c r="U189" i="68"/>
  <c r="U190" i="68"/>
  <c r="U191" i="68"/>
  <c r="U192" i="68"/>
  <c r="U193" i="68"/>
  <c r="U194" i="68"/>
  <c r="U195" i="68"/>
  <c r="U196" i="68"/>
  <c r="U197" i="68"/>
  <c r="U198" i="68"/>
  <c r="U199" i="68"/>
  <c r="U200" i="68"/>
  <c r="U201" i="68"/>
  <c r="U202" i="68"/>
  <c r="U203" i="68"/>
  <c r="U204" i="68"/>
  <c r="U205" i="68"/>
  <c r="U206" i="68"/>
  <c r="U207" i="68"/>
  <c r="U208" i="68"/>
  <c r="U209" i="68"/>
  <c r="U210" i="68"/>
  <c r="U211" i="68"/>
  <c r="U212" i="68"/>
  <c r="U213" i="68"/>
  <c r="U214" i="68"/>
  <c r="U215" i="68"/>
  <c r="U216" i="68"/>
  <c r="U217" i="68"/>
  <c r="U218" i="68"/>
  <c r="U219" i="68"/>
  <c r="U220" i="68"/>
  <c r="U221" i="68"/>
  <c r="U222" i="68"/>
  <c r="U223" i="68"/>
  <c r="U224" i="68"/>
  <c r="U225" i="68"/>
  <c r="U226" i="68"/>
  <c r="U227" i="68"/>
  <c r="U228" i="68"/>
  <c r="U229" i="68"/>
  <c r="U230" i="68"/>
  <c r="U231" i="68"/>
  <c r="U232" i="68"/>
  <c r="U233" i="68"/>
  <c r="U234" i="68"/>
  <c r="U235" i="68"/>
  <c r="U236" i="68"/>
  <c r="U237" i="68"/>
  <c r="U238" i="68"/>
  <c r="U239" i="68"/>
  <c r="U240" i="68"/>
  <c r="U241" i="68"/>
  <c r="U242" i="68"/>
  <c r="U243" i="68"/>
  <c r="U244" i="68"/>
  <c r="U245" i="68"/>
  <c r="U246" i="68"/>
  <c r="U247" i="68"/>
  <c r="U248" i="68"/>
  <c r="U249" i="68"/>
  <c r="U250" i="68"/>
  <c r="U251" i="68"/>
  <c r="U252" i="68"/>
  <c r="U253" i="68"/>
  <c r="U254" i="68"/>
  <c r="U255" i="68"/>
  <c r="U256" i="68"/>
  <c r="U257" i="68"/>
  <c r="U258" i="68"/>
  <c r="U259" i="68"/>
  <c r="U260" i="68"/>
  <c r="U261" i="68"/>
  <c r="U262" i="68"/>
  <c r="U263" i="68"/>
  <c r="U264" i="68"/>
  <c r="U265" i="68"/>
  <c r="U266" i="68"/>
  <c r="U267" i="68"/>
  <c r="U268" i="68"/>
  <c r="U269" i="68"/>
  <c r="U270" i="68"/>
  <c r="U271" i="68"/>
  <c r="U272" i="68"/>
  <c r="U273" i="68"/>
  <c r="U274" i="68"/>
  <c r="U275" i="68"/>
  <c r="U276" i="68"/>
  <c r="U277" i="68"/>
  <c r="U278" i="68"/>
  <c r="U279" i="68"/>
  <c r="U280" i="68"/>
  <c r="U281" i="68"/>
  <c r="U282" i="68"/>
  <c r="U283" i="68"/>
  <c r="U284" i="68"/>
  <c r="U285" i="68"/>
  <c r="U286" i="68"/>
  <c r="U287" i="68"/>
  <c r="U288" i="68"/>
  <c r="U289" i="68"/>
  <c r="U290" i="68"/>
  <c r="U291" i="68"/>
  <c r="U292" i="68"/>
  <c r="U293" i="68"/>
  <c r="U294" i="68"/>
  <c r="U295" i="68"/>
  <c r="U296" i="68"/>
  <c r="U297" i="68"/>
  <c r="U298" i="68"/>
  <c r="U299" i="68"/>
  <c r="U300" i="68"/>
  <c r="U301" i="68"/>
  <c r="U302" i="68"/>
  <c r="U303" i="68"/>
  <c r="U304" i="68"/>
  <c r="U305" i="68"/>
  <c r="U306" i="68"/>
  <c r="U307" i="68"/>
  <c r="U308" i="68"/>
  <c r="U309" i="68"/>
  <c r="U310" i="68"/>
  <c r="U311" i="68"/>
  <c r="U312" i="68"/>
  <c r="U313" i="68"/>
  <c r="U314" i="68"/>
  <c r="U315" i="68"/>
  <c r="U316" i="68"/>
  <c r="U317" i="68"/>
  <c r="U318" i="68"/>
  <c r="U319" i="68"/>
  <c r="U320" i="68"/>
  <c r="U321" i="68"/>
  <c r="U322" i="68"/>
  <c r="U323" i="68"/>
  <c r="U324" i="68"/>
  <c r="U325" i="68"/>
  <c r="U326" i="68"/>
  <c r="U327" i="68"/>
  <c r="U328" i="68"/>
  <c r="U329" i="68"/>
  <c r="U330" i="68"/>
  <c r="U331" i="68"/>
  <c r="U332" i="68"/>
  <c r="U333" i="68"/>
  <c r="U334" i="68"/>
  <c r="U335" i="68"/>
  <c r="U336" i="68"/>
  <c r="U337" i="68"/>
  <c r="U338" i="68"/>
  <c r="U339" i="68"/>
  <c r="U340" i="68"/>
  <c r="U341" i="68"/>
  <c r="U342" i="68"/>
  <c r="U343" i="68"/>
  <c r="U344" i="68"/>
  <c r="U345" i="68"/>
  <c r="U346" i="68"/>
  <c r="U347" i="68"/>
  <c r="U348" i="68"/>
  <c r="U349" i="68"/>
  <c r="U350" i="68"/>
  <c r="U351" i="68"/>
  <c r="U352" i="68"/>
  <c r="U353" i="68"/>
  <c r="U354" i="68"/>
  <c r="U355" i="68"/>
  <c r="U356" i="68"/>
  <c r="U357" i="68"/>
  <c r="U358" i="68"/>
  <c r="U359" i="68"/>
  <c r="U360" i="68"/>
  <c r="U361" i="68"/>
  <c r="U362" i="68"/>
  <c r="U363" i="68"/>
  <c r="U364" i="68"/>
  <c r="U365" i="68"/>
  <c r="U366" i="68"/>
  <c r="U367" i="68"/>
  <c r="W3" i="68"/>
  <c r="W4" i="68"/>
  <c r="W5" i="68"/>
  <c r="W6" i="68"/>
  <c r="W7" i="68"/>
  <c r="W8" i="68"/>
  <c r="W9" i="68"/>
  <c r="W10" i="68"/>
  <c r="W11" i="68"/>
  <c r="W12" i="68"/>
  <c r="W13" i="68"/>
  <c r="W14" i="68"/>
  <c r="W15" i="68"/>
  <c r="W16" i="68"/>
  <c r="W17" i="68"/>
  <c r="W18" i="68"/>
  <c r="W19" i="68"/>
  <c r="W20" i="68"/>
  <c r="W21" i="68"/>
  <c r="W22" i="68"/>
  <c r="W23" i="68"/>
  <c r="W24" i="68"/>
  <c r="W25" i="68"/>
  <c r="W26" i="68"/>
  <c r="W27" i="68"/>
  <c r="W28" i="68"/>
  <c r="W29" i="68"/>
  <c r="W30" i="68"/>
  <c r="W31" i="68"/>
  <c r="W32" i="68"/>
  <c r="W33" i="68"/>
  <c r="W34" i="68"/>
  <c r="W35" i="68"/>
  <c r="W36" i="68"/>
  <c r="W37" i="68"/>
  <c r="W38" i="68"/>
  <c r="W39" i="68"/>
  <c r="W40" i="68"/>
  <c r="W41" i="68"/>
  <c r="W42" i="68"/>
  <c r="W43" i="68"/>
  <c r="W44" i="68"/>
  <c r="W45" i="68"/>
  <c r="W46" i="68"/>
  <c r="W47" i="68"/>
  <c r="W48" i="68"/>
  <c r="W49" i="68"/>
  <c r="W50" i="68"/>
  <c r="W51" i="68"/>
  <c r="W52" i="68"/>
  <c r="W53" i="68"/>
  <c r="W54" i="68"/>
  <c r="W55" i="68"/>
  <c r="W56" i="68"/>
  <c r="W57" i="68"/>
  <c r="W58" i="68"/>
  <c r="W59" i="68"/>
  <c r="W60" i="68"/>
  <c r="W61" i="68"/>
  <c r="W62" i="68"/>
  <c r="W63" i="68"/>
  <c r="W64" i="68"/>
  <c r="W65" i="68"/>
  <c r="W66" i="68"/>
  <c r="W67" i="68"/>
  <c r="W68" i="68"/>
  <c r="W69" i="68"/>
  <c r="W70" i="68"/>
  <c r="W71" i="68"/>
  <c r="W72" i="68"/>
  <c r="W73" i="68"/>
  <c r="W74" i="68"/>
  <c r="W75" i="68"/>
  <c r="W76" i="68"/>
  <c r="W77" i="68"/>
  <c r="W78" i="68"/>
  <c r="W79" i="68"/>
  <c r="W80" i="68"/>
  <c r="W81" i="68"/>
  <c r="W82" i="68"/>
  <c r="W83" i="68"/>
  <c r="W84" i="68"/>
  <c r="W85" i="68"/>
  <c r="W86" i="68"/>
  <c r="W87" i="68"/>
  <c r="W88" i="68"/>
  <c r="W89" i="68"/>
  <c r="W90" i="68"/>
  <c r="W91" i="68"/>
  <c r="W92" i="68"/>
  <c r="W93" i="68"/>
  <c r="W94" i="68"/>
  <c r="W95" i="68"/>
  <c r="W96" i="68"/>
  <c r="W97" i="68"/>
  <c r="W98" i="68"/>
  <c r="W99" i="68"/>
  <c r="W100" i="68"/>
  <c r="W101" i="68"/>
  <c r="W102" i="68"/>
  <c r="W103" i="68"/>
  <c r="W104" i="68"/>
  <c r="W105" i="68"/>
  <c r="W106" i="68"/>
  <c r="W107" i="68"/>
  <c r="W108" i="68"/>
  <c r="W109" i="68"/>
  <c r="W110" i="68"/>
  <c r="W111" i="68"/>
  <c r="W112" i="68"/>
  <c r="W113" i="68"/>
  <c r="W114" i="68"/>
  <c r="W115" i="68"/>
  <c r="W116" i="68"/>
  <c r="W117" i="68"/>
  <c r="W118" i="68"/>
  <c r="W119" i="68"/>
  <c r="W120" i="68"/>
  <c r="W121" i="68"/>
  <c r="W122" i="68"/>
  <c r="W123" i="68"/>
  <c r="W124" i="68"/>
  <c r="W125" i="68"/>
  <c r="W126" i="68"/>
  <c r="W127" i="68"/>
  <c r="W128" i="68"/>
  <c r="W129" i="68"/>
  <c r="W130" i="68"/>
  <c r="W131" i="68"/>
  <c r="W132" i="68"/>
  <c r="W133" i="68"/>
  <c r="W134" i="68"/>
  <c r="W135" i="68"/>
  <c r="W136" i="68"/>
  <c r="W137" i="68"/>
  <c r="W138" i="68"/>
  <c r="W139" i="68"/>
  <c r="W140" i="68"/>
  <c r="W141" i="68"/>
  <c r="W142" i="68"/>
  <c r="W143" i="68"/>
  <c r="W144" i="68"/>
  <c r="W145" i="68"/>
  <c r="W146" i="68"/>
  <c r="W147" i="68"/>
  <c r="W148" i="68"/>
  <c r="W149" i="68"/>
  <c r="W150" i="68"/>
  <c r="W151" i="68"/>
  <c r="W152" i="68"/>
  <c r="W153" i="68"/>
  <c r="W154" i="68"/>
  <c r="W155" i="68"/>
  <c r="W156" i="68"/>
  <c r="W157" i="68"/>
  <c r="W158" i="68"/>
  <c r="W159" i="68"/>
  <c r="W160" i="68"/>
  <c r="W161" i="68"/>
  <c r="W162" i="68"/>
  <c r="W163" i="68"/>
  <c r="W164" i="68"/>
  <c r="W165" i="68"/>
  <c r="W166" i="68"/>
  <c r="W167" i="68"/>
  <c r="W168" i="68"/>
  <c r="W169" i="68"/>
  <c r="W170" i="68"/>
  <c r="W171" i="68"/>
  <c r="W172" i="68"/>
  <c r="W173" i="68"/>
  <c r="W174" i="68"/>
  <c r="W175" i="68"/>
  <c r="W176" i="68"/>
  <c r="W177" i="68"/>
  <c r="W178" i="68"/>
  <c r="W179" i="68"/>
  <c r="W180" i="68"/>
  <c r="W181" i="68"/>
  <c r="W182" i="68"/>
  <c r="W183" i="68"/>
  <c r="W184" i="68"/>
  <c r="W185" i="68"/>
  <c r="W186" i="68"/>
  <c r="W187" i="68"/>
  <c r="W188" i="68"/>
  <c r="W189" i="68"/>
  <c r="W190" i="68"/>
  <c r="W191" i="68"/>
  <c r="W192" i="68"/>
  <c r="W193" i="68"/>
  <c r="W194" i="68"/>
  <c r="W195" i="68"/>
  <c r="W196" i="68"/>
  <c r="W197" i="68"/>
  <c r="W198" i="68"/>
  <c r="W199" i="68"/>
  <c r="W200" i="68"/>
  <c r="W201" i="68"/>
  <c r="W202" i="68"/>
  <c r="W203" i="68"/>
  <c r="W204" i="68"/>
  <c r="W205" i="68"/>
  <c r="W206" i="68"/>
  <c r="W207" i="68"/>
  <c r="W208" i="68"/>
  <c r="W209" i="68"/>
  <c r="W210" i="68"/>
  <c r="W211" i="68"/>
  <c r="W212" i="68"/>
  <c r="W213" i="68"/>
  <c r="W214" i="68"/>
  <c r="W215" i="68"/>
  <c r="W216" i="68"/>
  <c r="W217" i="68"/>
  <c r="W218" i="68"/>
  <c r="W219" i="68"/>
  <c r="W220" i="68"/>
  <c r="W221" i="68"/>
  <c r="W222" i="68"/>
  <c r="W223" i="68"/>
  <c r="W224" i="68"/>
  <c r="W225" i="68"/>
  <c r="W226" i="68"/>
  <c r="W227" i="68"/>
  <c r="W228" i="68"/>
  <c r="W229" i="68"/>
  <c r="W230" i="68"/>
  <c r="W231" i="68"/>
  <c r="W232" i="68"/>
  <c r="W233" i="68"/>
  <c r="W234" i="68"/>
  <c r="W235" i="68"/>
  <c r="W236" i="68"/>
  <c r="W237" i="68"/>
  <c r="W238" i="68"/>
  <c r="W239" i="68"/>
  <c r="W240" i="68"/>
  <c r="W241" i="68"/>
  <c r="W242" i="68"/>
  <c r="W243" i="68"/>
  <c r="W244" i="68"/>
  <c r="W245" i="68"/>
  <c r="W246" i="68"/>
  <c r="W247" i="68"/>
  <c r="W248" i="68"/>
  <c r="W249" i="68"/>
  <c r="W250" i="68"/>
  <c r="W251" i="68"/>
  <c r="W252" i="68"/>
  <c r="W253" i="68"/>
  <c r="W254" i="68"/>
  <c r="W255" i="68"/>
  <c r="W256" i="68"/>
  <c r="W257" i="68"/>
  <c r="W258" i="68"/>
  <c r="W259" i="68"/>
  <c r="W260" i="68"/>
  <c r="W261" i="68"/>
  <c r="W262" i="68"/>
  <c r="W263" i="68"/>
  <c r="W264" i="68"/>
  <c r="W265" i="68"/>
  <c r="W266" i="68"/>
  <c r="W267" i="68"/>
  <c r="W268" i="68"/>
  <c r="W269" i="68"/>
  <c r="W270" i="68"/>
  <c r="W271" i="68"/>
  <c r="W272" i="68"/>
  <c r="W273" i="68"/>
  <c r="W274" i="68"/>
  <c r="W275" i="68"/>
  <c r="W276" i="68"/>
  <c r="W277" i="68"/>
  <c r="W278" i="68"/>
  <c r="W279" i="68"/>
  <c r="W280" i="68"/>
  <c r="W281" i="68"/>
  <c r="W282" i="68"/>
  <c r="W283" i="68"/>
  <c r="W284" i="68"/>
  <c r="W285" i="68"/>
  <c r="W286" i="68"/>
  <c r="W287" i="68"/>
  <c r="W288" i="68"/>
  <c r="W289" i="68"/>
  <c r="W290" i="68"/>
  <c r="W291" i="68"/>
  <c r="W292" i="68"/>
  <c r="W293" i="68"/>
  <c r="W294" i="68"/>
  <c r="W295" i="68"/>
  <c r="W296" i="68"/>
  <c r="W297" i="68"/>
  <c r="W298" i="68"/>
  <c r="W299" i="68"/>
  <c r="W300" i="68"/>
  <c r="W301" i="68"/>
  <c r="W302" i="68"/>
  <c r="W303" i="68"/>
  <c r="W304" i="68"/>
  <c r="W305" i="68"/>
  <c r="W306" i="68"/>
  <c r="W307" i="68"/>
  <c r="W308" i="68"/>
  <c r="W309" i="68"/>
  <c r="W310" i="68"/>
  <c r="W311" i="68"/>
  <c r="W312" i="68"/>
  <c r="W313" i="68"/>
  <c r="W314" i="68"/>
  <c r="W315" i="68"/>
  <c r="W316" i="68"/>
  <c r="W317" i="68"/>
  <c r="W318" i="68"/>
  <c r="W319" i="68"/>
  <c r="W320" i="68"/>
  <c r="W321" i="68"/>
  <c r="W322" i="68"/>
  <c r="W323" i="68"/>
  <c r="W324" i="68"/>
  <c r="W325" i="68"/>
  <c r="W326" i="68"/>
  <c r="W327" i="68"/>
  <c r="W328" i="68"/>
  <c r="W329" i="68"/>
  <c r="W330" i="68"/>
  <c r="W331" i="68"/>
  <c r="W332" i="68"/>
  <c r="W333" i="68"/>
  <c r="W334" i="68"/>
  <c r="W335" i="68"/>
  <c r="W336" i="68"/>
  <c r="W337" i="68"/>
  <c r="W338" i="68"/>
  <c r="W339" i="68"/>
  <c r="W340" i="68"/>
  <c r="W341" i="68"/>
  <c r="W342" i="68"/>
  <c r="W343" i="68"/>
  <c r="W344" i="68"/>
  <c r="W345" i="68"/>
  <c r="W346" i="68"/>
  <c r="W347" i="68"/>
  <c r="W348" i="68"/>
  <c r="W349" i="68"/>
  <c r="W350" i="68"/>
  <c r="W351" i="68"/>
  <c r="W352" i="68"/>
  <c r="W353" i="68"/>
  <c r="W354" i="68"/>
  <c r="W355" i="68"/>
  <c r="W356" i="68"/>
  <c r="W357" i="68"/>
  <c r="W358" i="68"/>
  <c r="W359" i="68"/>
  <c r="W360" i="68"/>
  <c r="W361" i="68"/>
  <c r="W362" i="68"/>
  <c r="W363" i="68"/>
  <c r="W364" i="68"/>
  <c r="W365" i="68"/>
  <c r="W366" i="68"/>
  <c r="W367" i="68"/>
  <c r="W2" i="68"/>
  <c r="U2" i="68"/>
  <c r="A8" i="8" l="1"/>
  <c r="H8" i="8" s="1"/>
  <c r="A9" i="8"/>
  <c r="H9" i="8" s="1"/>
  <c r="A10" i="8"/>
  <c r="H10" i="8" s="1"/>
  <c r="A11" i="8"/>
  <c r="H11" i="8" s="1"/>
  <c r="A12" i="8"/>
  <c r="H12" i="8" s="1"/>
  <c r="A13" i="8"/>
  <c r="H13" i="8" s="1"/>
  <c r="A14" i="8"/>
  <c r="H14" i="8" s="1"/>
  <c r="A15" i="8"/>
  <c r="H15" i="8" s="1"/>
  <c r="A16" i="8"/>
  <c r="H16" i="8" s="1"/>
  <c r="A17" i="8"/>
  <c r="H17" i="8" s="1"/>
  <c r="A18" i="8"/>
  <c r="H18" i="8" s="1"/>
  <c r="A19" i="8"/>
  <c r="H19" i="8" s="1"/>
  <c r="A20" i="8"/>
  <c r="H20" i="8" s="1"/>
  <c r="A21" i="8"/>
  <c r="H21" i="8" s="1"/>
  <c r="A22" i="8"/>
  <c r="H22" i="8" s="1"/>
  <c r="A23" i="8"/>
  <c r="H23" i="8" s="1"/>
  <c r="A24" i="8"/>
  <c r="H24" i="8" s="1"/>
  <c r="A25" i="8"/>
  <c r="H25" i="8" s="1"/>
  <c r="A26" i="8"/>
  <c r="H26" i="8" s="1"/>
  <c r="A27" i="8"/>
  <c r="H27" i="8" s="1"/>
  <c r="A28" i="8"/>
  <c r="H28" i="8" s="1"/>
  <c r="A29" i="8"/>
  <c r="H29" i="8" s="1"/>
  <c r="A30" i="8"/>
  <c r="H30" i="8" s="1"/>
  <c r="A31" i="8"/>
  <c r="H31" i="8" s="1"/>
  <c r="A32" i="8"/>
  <c r="H32" i="8" s="1"/>
  <c r="A33" i="8"/>
  <c r="H33" i="8" s="1"/>
  <c r="A34" i="8"/>
  <c r="H34" i="8" s="1"/>
  <c r="A35" i="8"/>
  <c r="H35" i="8" s="1"/>
  <c r="A36" i="8"/>
  <c r="H36" i="8" s="1"/>
  <c r="A37" i="8"/>
  <c r="A38" i="8"/>
  <c r="H38" i="8" l="1"/>
  <c r="H37" i="8"/>
  <c r="C8" i="8"/>
  <c r="I8" i="8" s="1"/>
  <c r="C9" i="8"/>
  <c r="I9" i="8" s="1"/>
  <c r="D9" i="8"/>
  <c r="E9" i="8"/>
  <c r="J9" i="8" s="1"/>
  <c r="C10" i="8"/>
  <c r="I10" i="8" s="1"/>
  <c r="D10" i="8"/>
  <c r="E10" i="8"/>
  <c r="J10" i="8" s="1"/>
  <c r="C11" i="8"/>
  <c r="I11" i="8" s="1"/>
  <c r="D11" i="8"/>
  <c r="E11" i="8"/>
  <c r="J11" i="8" s="1"/>
  <c r="C12" i="8"/>
  <c r="I12" i="8" s="1"/>
  <c r="D12" i="8"/>
  <c r="E12" i="8"/>
  <c r="J12" i="8" s="1"/>
  <c r="C13" i="8"/>
  <c r="I13" i="8" s="1"/>
  <c r="D13" i="8"/>
  <c r="E13" i="8"/>
  <c r="J13" i="8" s="1"/>
  <c r="C14" i="8"/>
  <c r="I14" i="8" s="1"/>
  <c r="D14" i="8"/>
  <c r="E14" i="8"/>
  <c r="J14" i="8" s="1"/>
  <c r="C15" i="8"/>
  <c r="I15" i="8" s="1"/>
  <c r="D15" i="8"/>
  <c r="E15" i="8"/>
  <c r="J15" i="8" s="1"/>
  <c r="C16" i="8"/>
  <c r="I16" i="8" s="1"/>
  <c r="D16" i="8"/>
  <c r="E16" i="8"/>
  <c r="J16" i="8" s="1"/>
  <c r="C17" i="8"/>
  <c r="I17" i="8" s="1"/>
  <c r="D17" i="8"/>
  <c r="E17" i="8"/>
  <c r="J17" i="8" s="1"/>
  <c r="C18" i="8"/>
  <c r="I18" i="8" s="1"/>
  <c r="D18" i="8"/>
  <c r="E18" i="8"/>
  <c r="J18" i="8" s="1"/>
  <c r="C19" i="8"/>
  <c r="I19" i="8" s="1"/>
  <c r="D19" i="8"/>
  <c r="E19" i="8"/>
  <c r="J19" i="8" s="1"/>
  <c r="C20" i="8"/>
  <c r="I20" i="8" s="1"/>
  <c r="D20" i="8"/>
  <c r="E20" i="8"/>
  <c r="J20" i="8" s="1"/>
  <c r="C21" i="8"/>
  <c r="I21" i="8" s="1"/>
  <c r="D21" i="8"/>
  <c r="E21" i="8"/>
  <c r="J21" i="8" s="1"/>
  <c r="C22" i="8"/>
  <c r="I22" i="8" s="1"/>
  <c r="D22" i="8"/>
  <c r="E22" i="8"/>
  <c r="J22" i="8" s="1"/>
  <c r="C23" i="8"/>
  <c r="I23" i="8" s="1"/>
  <c r="D23" i="8"/>
  <c r="E23" i="8"/>
  <c r="J23" i="8" s="1"/>
  <c r="C24" i="8"/>
  <c r="I24" i="8" s="1"/>
  <c r="D24" i="8"/>
  <c r="E24" i="8"/>
  <c r="J24" i="8" s="1"/>
  <c r="C25" i="8"/>
  <c r="I25" i="8" s="1"/>
  <c r="D25" i="8"/>
  <c r="E25" i="8"/>
  <c r="J25" i="8" s="1"/>
  <c r="C26" i="8"/>
  <c r="I26" i="8" s="1"/>
  <c r="D26" i="8"/>
  <c r="E26" i="8"/>
  <c r="J26" i="8" s="1"/>
  <c r="C27" i="8"/>
  <c r="I27" i="8" s="1"/>
  <c r="D27" i="8"/>
  <c r="E27" i="8"/>
  <c r="J27" i="8" s="1"/>
  <c r="C28" i="8"/>
  <c r="I28" i="8" s="1"/>
  <c r="D28" i="8"/>
  <c r="E28" i="8"/>
  <c r="J28" i="8" s="1"/>
  <c r="C29" i="8"/>
  <c r="I29" i="8" s="1"/>
  <c r="D29" i="8"/>
  <c r="E29" i="8"/>
  <c r="J29" i="8" s="1"/>
  <c r="C30" i="8"/>
  <c r="I30" i="8" s="1"/>
  <c r="D30" i="8"/>
  <c r="E30" i="8"/>
  <c r="J30" i="8" s="1"/>
  <c r="C31" i="8"/>
  <c r="I31" i="8" s="1"/>
  <c r="D31" i="8"/>
  <c r="E31" i="8"/>
  <c r="J31" i="8" s="1"/>
  <c r="C32" i="8"/>
  <c r="I32" i="8" s="1"/>
  <c r="D32" i="8"/>
  <c r="E32" i="8"/>
  <c r="J32" i="8" s="1"/>
  <c r="C33" i="8"/>
  <c r="I33" i="8" s="1"/>
  <c r="D33" i="8"/>
  <c r="E33" i="8"/>
  <c r="J33" i="8" s="1"/>
  <c r="C34" i="8"/>
  <c r="I34" i="8" s="1"/>
  <c r="D34" i="8"/>
  <c r="E34" i="8"/>
  <c r="J34" i="8" s="1"/>
  <c r="C35" i="8"/>
  <c r="I35" i="8" s="1"/>
  <c r="D35" i="8"/>
  <c r="E35" i="8"/>
  <c r="J35" i="8" s="1"/>
  <c r="C36" i="8"/>
  <c r="I36" i="8" s="1"/>
  <c r="D36" i="8"/>
  <c r="E36" i="8"/>
  <c r="J36" i="8" s="1"/>
  <c r="C37" i="8"/>
  <c r="I37" i="8" s="1"/>
  <c r="D37" i="8"/>
  <c r="E37" i="8"/>
  <c r="J37" i="8" s="1"/>
  <c r="C38" i="8"/>
  <c r="I38" i="8" s="1"/>
  <c r="D38" i="8"/>
  <c r="E38" i="8"/>
  <c r="J38" i="8" s="1"/>
  <c r="E8" i="8"/>
  <c r="J8" i="8" s="1"/>
  <c r="D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8" i="8"/>
  <c r="T2" i="68" l="1"/>
  <c r="T358" i="68"/>
  <c r="T359" i="68"/>
  <c r="T360" i="68"/>
  <c r="T361" i="68"/>
  <c r="T362" i="68"/>
  <c r="T363" i="68"/>
  <c r="T364" i="68"/>
  <c r="T365" i="68"/>
  <c r="T366" i="68"/>
  <c r="S359" i="68"/>
  <c r="S360" i="68" s="1"/>
  <c r="O30" i="98"/>
  <c r="N30" i="98"/>
  <c r="M30" i="98"/>
  <c r="L30" i="98"/>
  <c r="K30" i="98"/>
  <c r="J30" i="98"/>
  <c r="I30" i="98"/>
  <c r="H30" i="98"/>
  <c r="G30" i="98"/>
  <c r="F30" i="98"/>
  <c r="O29" i="98"/>
  <c r="N29" i="98"/>
  <c r="M29" i="98"/>
  <c r="L29" i="98"/>
  <c r="K29" i="98"/>
  <c r="J29" i="98"/>
  <c r="I29" i="98"/>
  <c r="H29" i="98"/>
  <c r="G29" i="98"/>
  <c r="F29" i="98"/>
  <c r="S361" i="68" l="1"/>
  <c r="E48" i="96"/>
  <c r="F48" i="96"/>
  <c r="G48" i="96"/>
  <c r="H48" i="96"/>
  <c r="I48" i="96"/>
  <c r="J48" i="96"/>
  <c r="K48" i="96"/>
  <c r="L48" i="96"/>
  <c r="M48" i="96"/>
  <c r="N48" i="96"/>
  <c r="O48" i="96"/>
  <c r="E47" i="96"/>
  <c r="F47" i="96"/>
  <c r="G47" i="96"/>
  <c r="H47" i="96"/>
  <c r="I47" i="96"/>
  <c r="J47" i="96"/>
  <c r="K47" i="96"/>
  <c r="L47" i="96"/>
  <c r="M47" i="96"/>
  <c r="N47" i="96"/>
  <c r="O47" i="96"/>
  <c r="S362" i="68" l="1"/>
  <c r="D48" i="96"/>
  <c r="D47" i="96"/>
  <c r="S363" i="68" l="1"/>
  <c r="P48" i="96"/>
  <c r="P47" i="96"/>
  <c r="S364" i="68" l="1"/>
  <c r="E22" i="97"/>
  <c r="P22" i="97" s="1"/>
  <c r="F22" i="97"/>
  <c r="G22" i="97"/>
  <c r="H22" i="97"/>
  <c r="I22" i="97"/>
  <c r="J22" i="97"/>
  <c r="K22" i="97"/>
  <c r="L22" i="97"/>
  <c r="M22" i="97"/>
  <c r="N22" i="97"/>
  <c r="O22" i="97"/>
  <c r="D22" i="97"/>
  <c r="E18" i="97"/>
  <c r="P18" i="97" s="1"/>
  <c r="F18" i="97"/>
  <c r="G18" i="97"/>
  <c r="H18" i="97"/>
  <c r="I18" i="97"/>
  <c r="J18" i="97"/>
  <c r="K18" i="97"/>
  <c r="L18" i="97"/>
  <c r="M18" i="97"/>
  <c r="N18" i="97"/>
  <c r="O18" i="97"/>
  <c r="D18" i="97"/>
  <c r="S365" i="68" l="1"/>
  <c r="S366" i="68" l="1"/>
  <c r="E25" i="99" l="1"/>
  <c r="F25" i="99"/>
  <c r="G25" i="99"/>
  <c r="E26" i="99"/>
  <c r="F26" i="99"/>
  <c r="G26" i="99"/>
  <c r="E27" i="99"/>
  <c r="F27" i="99"/>
  <c r="G27" i="99"/>
  <c r="C25" i="99"/>
  <c r="D25" i="99"/>
  <c r="C26" i="99"/>
  <c r="D26" i="99"/>
  <c r="C27" i="99"/>
  <c r="D27" i="99"/>
  <c r="B26" i="99"/>
  <c r="B27" i="99"/>
  <c r="B25" i="99"/>
  <c r="M12" i="100"/>
  <c r="L12" i="100"/>
  <c r="K12" i="100"/>
  <c r="I12" i="100"/>
  <c r="G12" i="100"/>
  <c r="E12" i="100"/>
  <c r="C12" i="100"/>
  <c r="M11" i="100"/>
  <c r="L11" i="100"/>
  <c r="K11" i="100"/>
  <c r="I11" i="100"/>
  <c r="G11" i="100"/>
  <c r="E11" i="100"/>
  <c r="C11" i="100"/>
  <c r="M8" i="100"/>
  <c r="L8" i="100"/>
  <c r="K8" i="100"/>
  <c r="I8" i="100"/>
  <c r="G8" i="100"/>
  <c r="E8" i="100"/>
  <c r="C8" i="100"/>
  <c r="M7" i="100"/>
  <c r="L7" i="100"/>
  <c r="K7" i="100"/>
  <c r="I7" i="100"/>
  <c r="G7" i="100"/>
  <c r="E7" i="100"/>
  <c r="C7" i="100"/>
  <c r="M6" i="100"/>
  <c r="L6" i="100"/>
  <c r="K6" i="100"/>
  <c r="I6" i="100"/>
  <c r="G6" i="100"/>
  <c r="E6" i="100"/>
  <c r="C6" i="100"/>
  <c r="E39" i="101"/>
  <c r="D39" i="101"/>
  <c r="E38" i="101"/>
  <c r="D38" i="101"/>
  <c r="E37" i="101"/>
  <c r="D37" i="101"/>
  <c r="E36" i="101"/>
  <c r="D36" i="101"/>
  <c r="E35" i="101"/>
  <c r="D35" i="101"/>
  <c r="E34" i="101"/>
  <c r="D34" i="101"/>
  <c r="E19" i="101"/>
  <c r="D19" i="101"/>
  <c r="E18" i="101"/>
  <c r="D18" i="101"/>
  <c r="E17" i="101"/>
  <c r="D17" i="101"/>
  <c r="E16" i="101"/>
  <c r="D16" i="101"/>
  <c r="D8" i="101"/>
  <c r="E7" i="99" l="1"/>
  <c r="F7" i="99"/>
  <c r="G7" i="99"/>
  <c r="F12" i="99"/>
  <c r="E12" i="99"/>
  <c r="E20" i="101"/>
  <c r="D11" i="63"/>
  <c r="E11" i="63"/>
  <c r="F11" i="63"/>
  <c r="G11" i="63"/>
  <c r="H11" i="63"/>
  <c r="I11" i="63"/>
  <c r="J11" i="63"/>
  <c r="K11" i="63"/>
  <c r="L11" i="63"/>
  <c r="M11" i="63"/>
  <c r="B8" i="63"/>
  <c r="C8" i="63"/>
  <c r="D8" i="63"/>
  <c r="E8" i="63"/>
  <c r="F8" i="63"/>
  <c r="G8" i="63"/>
  <c r="H8" i="63"/>
  <c r="I8" i="63"/>
  <c r="J8" i="63"/>
  <c r="K8" i="63"/>
  <c r="L8" i="63"/>
  <c r="M8" i="63"/>
  <c r="B9" i="63"/>
  <c r="C9" i="63"/>
  <c r="D9" i="63"/>
  <c r="E9" i="63"/>
  <c r="F9" i="63"/>
  <c r="G9" i="63"/>
  <c r="H9" i="63"/>
  <c r="I9" i="63"/>
  <c r="J9" i="63"/>
  <c r="K9" i="63"/>
  <c r="L9" i="63"/>
  <c r="M9" i="63"/>
  <c r="B10" i="63"/>
  <c r="C10" i="63"/>
  <c r="D10" i="63"/>
  <c r="E10" i="63"/>
  <c r="F10" i="63"/>
  <c r="G10" i="63"/>
  <c r="H10" i="63"/>
  <c r="I10" i="63"/>
  <c r="J10" i="63"/>
  <c r="K10" i="63"/>
  <c r="L10" i="63"/>
  <c r="M10" i="63"/>
  <c r="C7" i="63"/>
  <c r="D7" i="63"/>
  <c r="E7" i="63"/>
  <c r="F7" i="63"/>
  <c r="G7" i="63"/>
  <c r="H7" i="63"/>
  <c r="I7" i="63"/>
  <c r="J7" i="63"/>
  <c r="K7" i="63"/>
  <c r="L7" i="63"/>
  <c r="M7" i="63"/>
  <c r="B7" i="63"/>
  <c r="C11" i="63" l="1"/>
  <c r="B11" i="63"/>
  <c r="D19" i="98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G17" i="98"/>
  <c r="H17" i="98"/>
  <c r="I17" i="98"/>
  <c r="J17" i="98"/>
  <c r="K17" i="98"/>
  <c r="L17" i="98"/>
  <c r="M17" i="98"/>
  <c r="N17" i="98"/>
  <c r="O17" i="98"/>
  <c r="D17" i="98"/>
  <c r="D14" i="98"/>
  <c r="D13" i="98"/>
  <c r="E29" i="98"/>
  <c r="D19" i="99" l="1"/>
  <c r="F19" i="99"/>
  <c r="G19" i="99"/>
  <c r="F20" i="99"/>
  <c r="C20" i="99"/>
  <c r="G20" i="99"/>
  <c r="D20" i="99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F12" i="97"/>
  <c r="G12" i="97"/>
  <c r="H12" i="97"/>
  <c r="I12" i="97"/>
  <c r="J12" i="97"/>
  <c r="K12" i="97"/>
  <c r="L12" i="97"/>
  <c r="M12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F17" i="97"/>
  <c r="G17" i="97"/>
  <c r="H17" i="97"/>
  <c r="I17" i="97"/>
  <c r="J17" i="97"/>
  <c r="K17" i="97"/>
  <c r="L17" i="97"/>
  <c r="M17" i="97"/>
  <c r="N17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F21" i="97"/>
  <c r="G21" i="97"/>
  <c r="H21" i="97"/>
  <c r="I21" i="97"/>
  <c r="J21" i="97"/>
  <c r="K21" i="97"/>
  <c r="L21" i="97"/>
  <c r="M21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F33" i="97"/>
  <c r="G33" i="97"/>
  <c r="H33" i="97"/>
  <c r="I33" i="97"/>
  <c r="J33" i="97"/>
  <c r="K33" i="97"/>
  <c r="L33" i="97"/>
  <c r="M33" i="97"/>
  <c r="N33" i="97"/>
  <c r="O33" i="97"/>
  <c r="F34" i="97"/>
  <c r="G34" i="97"/>
  <c r="H34" i="97"/>
  <c r="I34" i="97"/>
  <c r="J34" i="97"/>
  <c r="K34" i="97"/>
  <c r="L34" i="97"/>
  <c r="M34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F9" i="97"/>
  <c r="G9" i="97"/>
  <c r="H9" i="97"/>
  <c r="I9" i="97"/>
  <c r="J9" i="97"/>
  <c r="K9" i="97"/>
  <c r="L9" i="97"/>
  <c r="M9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E9" i="97" s="1"/>
  <c r="F7" i="97"/>
  <c r="G7" i="97"/>
  <c r="H7" i="97"/>
  <c r="I7" i="97"/>
  <c r="J7" i="97"/>
  <c r="K7" i="97"/>
  <c r="L7" i="97"/>
  <c r="M7" i="97"/>
  <c r="N7" i="97"/>
  <c r="O7" i="97"/>
  <c r="D7" i="97"/>
  <c r="D9" i="97" s="1"/>
  <c r="P26" i="94"/>
  <c r="P25" i="94"/>
  <c r="P24" i="94"/>
  <c r="P23" i="94"/>
  <c r="P22" i="94"/>
  <c r="P21" i="94"/>
  <c r="E17" i="97" l="1"/>
  <c r="E33" i="97" s="1"/>
  <c r="E21" i="97"/>
  <c r="E12" i="97"/>
  <c r="D17" i="97"/>
  <c r="D33" i="97" s="1"/>
  <c r="D12" i="97"/>
  <c r="D21" i="97"/>
  <c r="P32" i="96"/>
  <c r="P25" i="96"/>
  <c r="P18" i="96"/>
  <c r="P11" i="96"/>
  <c r="F40" i="96"/>
  <c r="G40" i="96"/>
  <c r="H40" i="96"/>
  <c r="I40" i="96"/>
  <c r="J40" i="96"/>
  <c r="K40" i="96"/>
  <c r="L40" i="96"/>
  <c r="M40" i="96"/>
  <c r="N40" i="96"/>
  <c r="O40" i="96"/>
  <c r="F41" i="96"/>
  <c r="G41" i="96"/>
  <c r="H41" i="96"/>
  <c r="I41" i="96"/>
  <c r="J41" i="96"/>
  <c r="K41" i="96"/>
  <c r="L41" i="96"/>
  <c r="M41" i="96"/>
  <c r="N41" i="96"/>
  <c r="O41" i="96"/>
  <c r="F42" i="96"/>
  <c r="G42" i="96"/>
  <c r="H42" i="96"/>
  <c r="I42" i="96"/>
  <c r="J42" i="96"/>
  <c r="K42" i="96"/>
  <c r="L42" i="96"/>
  <c r="M42" i="96"/>
  <c r="N42" i="96"/>
  <c r="O42" i="96"/>
  <c r="E35" i="96"/>
  <c r="F35" i="96"/>
  <c r="G35" i="96"/>
  <c r="H35" i="96"/>
  <c r="I35" i="96"/>
  <c r="J35" i="96"/>
  <c r="K35" i="96"/>
  <c r="L35" i="96"/>
  <c r="M35" i="96"/>
  <c r="N35" i="96"/>
  <c r="O35" i="96"/>
  <c r="E36" i="96"/>
  <c r="F36" i="96"/>
  <c r="G36" i="96"/>
  <c r="H36" i="96"/>
  <c r="I36" i="96"/>
  <c r="J36" i="96"/>
  <c r="K36" i="96"/>
  <c r="L36" i="96"/>
  <c r="M36" i="96"/>
  <c r="N36" i="96"/>
  <c r="O36" i="96"/>
  <c r="F37" i="96"/>
  <c r="G37" i="96"/>
  <c r="H37" i="96"/>
  <c r="I37" i="96"/>
  <c r="J37" i="96"/>
  <c r="K37" i="96"/>
  <c r="L37" i="96"/>
  <c r="M37" i="96"/>
  <c r="N37" i="96"/>
  <c r="O37" i="96"/>
  <c r="E28" i="96"/>
  <c r="F28" i="96"/>
  <c r="G28" i="96"/>
  <c r="H28" i="96"/>
  <c r="I28" i="96"/>
  <c r="J28" i="96"/>
  <c r="K28" i="96"/>
  <c r="L28" i="96"/>
  <c r="M28" i="96"/>
  <c r="N28" i="96"/>
  <c r="O28" i="96"/>
  <c r="E29" i="96"/>
  <c r="F29" i="96"/>
  <c r="G29" i="96"/>
  <c r="H29" i="96"/>
  <c r="I29" i="96"/>
  <c r="J29" i="96"/>
  <c r="K29" i="96"/>
  <c r="L29" i="96"/>
  <c r="M29" i="96"/>
  <c r="N29" i="96"/>
  <c r="O29" i="96"/>
  <c r="F30" i="96"/>
  <c r="G30" i="96"/>
  <c r="H30" i="96"/>
  <c r="I30" i="96"/>
  <c r="J30" i="96"/>
  <c r="K30" i="96"/>
  <c r="L30" i="96"/>
  <c r="M30" i="96"/>
  <c r="N30" i="96"/>
  <c r="O30" i="96"/>
  <c r="E31" i="96"/>
  <c r="F31" i="96"/>
  <c r="G31" i="96"/>
  <c r="H31" i="96"/>
  <c r="I31" i="96"/>
  <c r="J31" i="96"/>
  <c r="K31" i="96"/>
  <c r="L31" i="96"/>
  <c r="M31" i="96"/>
  <c r="N31" i="96"/>
  <c r="O31" i="96"/>
  <c r="F32" i="96"/>
  <c r="G32" i="96"/>
  <c r="H32" i="96"/>
  <c r="I32" i="96"/>
  <c r="J32" i="96"/>
  <c r="K32" i="96"/>
  <c r="L32" i="96"/>
  <c r="M32" i="96"/>
  <c r="N32" i="96"/>
  <c r="O32" i="96"/>
  <c r="E21" i="96"/>
  <c r="F21" i="96"/>
  <c r="G21" i="96"/>
  <c r="H21" i="96"/>
  <c r="I21" i="96"/>
  <c r="J21" i="96"/>
  <c r="K21" i="96"/>
  <c r="L21" i="96"/>
  <c r="M21" i="96"/>
  <c r="N21" i="96"/>
  <c r="O21" i="96"/>
  <c r="E22" i="96"/>
  <c r="F22" i="96"/>
  <c r="G22" i="96"/>
  <c r="H22" i="96"/>
  <c r="I22" i="96"/>
  <c r="J22" i="96"/>
  <c r="K22" i="96"/>
  <c r="L22" i="96"/>
  <c r="M22" i="96"/>
  <c r="N22" i="96"/>
  <c r="O22" i="96"/>
  <c r="F23" i="96"/>
  <c r="G23" i="96"/>
  <c r="H23" i="96"/>
  <c r="I23" i="96"/>
  <c r="J23" i="96"/>
  <c r="K23" i="96"/>
  <c r="L23" i="96"/>
  <c r="M23" i="96"/>
  <c r="N23" i="96"/>
  <c r="O23" i="96"/>
  <c r="E24" i="96"/>
  <c r="F24" i="96"/>
  <c r="G24" i="96"/>
  <c r="H24" i="96"/>
  <c r="I24" i="96"/>
  <c r="J24" i="96"/>
  <c r="K24" i="96"/>
  <c r="L24" i="96"/>
  <c r="M24" i="96"/>
  <c r="N24" i="96"/>
  <c r="O24" i="96"/>
  <c r="F25" i="96"/>
  <c r="G25" i="96"/>
  <c r="H25" i="96"/>
  <c r="I25" i="96"/>
  <c r="J25" i="96"/>
  <c r="K25" i="96"/>
  <c r="L25" i="96"/>
  <c r="M25" i="96"/>
  <c r="N25" i="96"/>
  <c r="O25" i="96"/>
  <c r="E14" i="96"/>
  <c r="F14" i="96"/>
  <c r="G14" i="96"/>
  <c r="H14" i="96"/>
  <c r="I14" i="96"/>
  <c r="J14" i="96"/>
  <c r="K14" i="96"/>
  <c r="L14" i="96"/>
  <c r="M14" i="96"/>
  <c r="N14" i="96"/>
  <c r="O14" i="96"/>
  <c r="E15" i="96"/>
  <c r="F15" i="96"/>
  <c r="G15" i="96"/>
  <c r="H15" i="96"/>
  <c r="I15" i="96"/>
  <c r="J15" i="96"/>
  <c r="K15" i="96"/>
  <c r="L15" i="96"/>
  <c r="M15" i="96"/>
  <c r="N15" i="96"/>
  <c r="O15" i="96"/>
  <c r="F16" i="96"/>
  <c r="G16" i="96"/>
  <c r="H16" i="96"/>
  <c r="I16" i="96"/>
  <c r="J16" i="96"/>
  <c r="K16" i="96"/>
  <c r="L16" i="96"/>
  <c r="M16" i="96"/>
  <c r="N16" i="96"/>
  <c r="O16" i="96"/>
  <c r="E17" i="96"/>
  <c r="F17" i="96"/>
  <c r="G17" i="96"/>
  <c r="H17" i="96"/>
  <c r="I17" i="96"/>
  <c r="J17" i="96"/>
  <c r="K17" i="96"/>
  <c r="L17" i="96"/>
  <c r="M17" i="96"/>
  <c r="N17" i="96"/>
  <c r="O17" i="96"/>
  <c r="F18" i="96"/>
  <c r="G18" i="96"/>
  <c r="H18" i="96"/>
  <c r="I18" i="96"/>
  <c r="J18" i="96"/>
  <c r="K18" i="96"/>
  <c r="L18" i="96"/>
  <c r="M18" i="96"/>
  <c r="N18" i="96"/>
  <c r="O18" i="96"/>
  <c r="E10" i="96"/>
  <c r="F10" i="96"/>
  <c r="G10" i="96"/>
  <c r="H10" i="96"/>
  <c r="I10" i="96"/>
  <c r="J10" i="96"/>
  <c r="K10" i="96"/>
  <c r="L10" i="96"/>
  <c r="M10" i="96"/>
  <c r="N10" i="96"/>
  <c r="O10" i="96"/>
  <c r="F11" i="96"/>
  <c r="G11" i="96"/>
  <c r="H11" i="96"/>
  <c r="I11" i="96"/>
  <c r="J11" i="96"/>
  <c r="K11" i="96"/>
  <c r="L11" i="96"/>
  <c r="M11" i="96"/>
  <c r="N11" i="96"/>
  <c r="O11" i="96"/>
  <c r="F9" i="96"/>
  <c r="G9" i="96"/>
  <c r="H9" i="96"/>
  <c r="I9" i="96"/>
  <c r="J9" i="96"/>
  <c r="K9" i="96"/>
  <c r="L9" i="96"/>
  <c r="M9" i="96"/>
  <c r="N9" i="96"/>
  <c r="O9" i="96"/>
  <c r="E8" i="96"/>
  <c r="F8" i="96"/>
  <c r="G8" i="96"/>
  <c r="H8" i="96"/>
  <c r="I8" i="96"/>
  <c r="J8" i="96"/>
  <c r="K8" i="96"/>
  <c r="L8" i="96"/>
  <c r="M8" i="96"/>
  <c r="N8" i="96"/>
  <c r="O8" i="96"/>
  <c r="E7" i="96"/>
  <c r="F7" i="96"/>
  <c r="G7" i="96"/>
  <c r="H7" i="96"/>
  <c r="I7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E34" i="97" l="1"/>
  <c r="E40" i="96"/>
  <c r="E30" i="96" s="1"/>
  <c r="E41" i="96"/>
  <c r="E42" i="96"/>
  <c r="E25" i="96" s="1"/>
  <c r="D34" i="97"/>
  <c r="E9" i="96" l="1"/>
  <c r="E37" i="96"/>
  <c r="E18" i="96"/>
  <c r="E16" i="96"/>
  <c r="E23" i="96"/>
  <c r="E32" i="96"/>
  <c r="E11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D3" i="99"/>
  <c r="C3" i="99"/>
  <c r="C4" i="101"/>
  <c r="B4" i="101"/>
  <c r="A48" i="101"/>
  <c r="A47" i="101"/>
  <c r="A46" i="101"/>
  <c r="A45" i="101"/>
  <c r="A44" i="101"/>
  <c r="A43" i="101"/>
  <c r="C42" i="101"/>
  <c r="B42" i="101"/>
  <c r="B12" i="101"/>
  <c r="B11" i="101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D24" i="96" l="1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D42" i="96" l="1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D25" i="96" l="1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D4" i="92"/>
  <c r="A27" i="68" l="1"/>
  <c r="P8" i="63"/>
  <c r="P9" i="63"/>
  <c r="P10" i="63"/>
  <c r="P11" i="63"/>
  <c r="P7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S2" i="68" l="1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S3" i="68" l="1"/>
  <c r="V2" i="68"/>
  <c r="E7" i="93"/>
  <c r="E33" i="93" s="1"/>
  <c r="J45" i="93"/>
  <c r="F21" i="93"/>
  <c r="F7" i="93"/>
  <c r="E20" i="93" l="1"/>
  <c r="E45" i="93"/>
  <c r="V3" i="68"/>
  <c r="T3" i="68"/>
  <c r="S4" i="68"/>
  <c r="F33" i="93"/>
  <c r="E21" i="93"/>
  <c r="F45" i="93"/>
  <c r="T4" i="68" l="1"/>
  <c r="V4" i="68"/>
  <c r="S5" i="68"/>
  <c r="E4" i="92"/>
  <c r="E7" i="92" s="1"/>
  <c r="D10" i="92" s="1"/>
  <c r="H46" i="92"/>
  <c r="S6" i="68" l="1"/>
  <c r="T5" i="68"/>
  <c r="V5" i="68"/>
  <c r="E46" i="92"/>
  <c r="I7" i="92"/>
  <c r="K42" i="90"/>
  <c r="K28" i="90"/>
  <c r="K20" i="90"/>
  <c r="T6" i="68" l="1"/>
  <c r="S7" i="68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V10" i="68"/>
  <c r="J25" i="92"/>
  <c r="T11" i="68" l="1"/>
  <c r="V11" i="68"/>
  <c r="S12" i="68"/>
  <c r="D3" i="82"/>
  <c r="E3" i="82"/>
  <c r="T12" i="68" l="1"/>
  <c r="V12" i="68"/>
  <c r="S13" i="68"/>
  <c r="A31" i="68"/>
  <c r="T13" i="68" l="1"/>
  <c r="V13" i="68"/>
  <c r="S14" i="68"/>
  <c r="T1" i="68"/>
  <c r="A2" i="68"/>
  <c r="T14" i="68" l="1"/>
  <c r="S15" i="68"/>
  <c r="V14" i="68"/>
  <c r="D41" i="8"/>
  <c r="C40" i="8"/>
  <c r="E40" i="8" s="1"/>
  <c r="C39" i="8"/>
  <c r="B19" i="99" l="1"/>
  <c r="T15" i="68"/>
  <c r="S16" i="68"/>
  <c r="V15" i="68"/>
  <c r="E39" i="8"/>
  <c r="D39" i="8"/>
  <c r="E20" i="99" l="1"/>
  <c r="B20" i="99"/>
  <c r="T16" i="68"/>
  <c r="V16" i="68"/>
  <c r="S17" i="68"/>
  <c r="T17" i="68" l="1"/>
  <c r="S18" i="68"/>
  <c r="V17" i="68"/>
  <c r="D40" i="8"/>
  <c r="E19" i="99" s="1"/>
  <c r="T18" i="68" l="1"/>
  <c r="S19" i="68"/>
  <c r="V18" i="68"/>
  <c r="T19" i="68" l="1"/>
  <c r="S20" i="68"/>
  <c r="V19" i="68"/>
  <c r="F30" i="82"/>
  <c r="F29" i="82"/>
  <c r="F28" i="82"/>
  <c r="F27" i="82"/>
  <c r="T20" i="68" l="1"/>
  <c r="S21" i="68"/>
  <c r="V20" i="68"/>
  <c r="F31" i="82"/>
  <c r="T21" i="68" l="1"/>
  <c r="S22" i="68"/>
  <c r="V21" i="68"/>
  <c r="T22" i="68" l="1"/>
  <c r="V22" i="68"/>
  <c r="S23" i="68"/>
  <c r="E42" i="8"/>
  <c r="D42" i="8"/>
  <c r="C42" i="8"/>
  <c r="C41" i="8"/>
  <c r="E41" i="8" l="1"/>
  <c r="K7" i="8"/>
  <c r="T23" i="68"/>
  <c r="S24" i="68"/>
  <c r="V23" i="68"/>
  <c r="K8" i="8" l="1"/>
  <c r="L7" i="8"/>
  <c r="T24" i="68"/>
  <c r="S25" i="68"/>
  <c r="V24" i="68"/>
  <c r="K9" i="8" l="1"/>
  <c r="L8" i="8"/>
  <c r="T25" i="68"/>
  <c r="S26" i="68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V26" i="68"/>
  <c r="N11" i="63"/>
  <c r="Q10" i="63"/>
  <c r="K11" i="8" l="1"/>
  <c r="L11" i="8" s="1"/>
  <c r="L10" i="8"/>
  <c r="T27" i="68"/>
  <c r="S28" i="68"/>
  <c r="V27" i="68"/>
  <c r="Q11" i="63"/>
  <c r="K12" i="8" l="1"/>
  <c r="L12" i="8" s="1"/>
  <c r="T28" i="68"/>
  <c r="V28" i="68"/>
  <c r="S29" i="68"/>
  <c r="K13" i="8" l="1"/>
  <c r="L13" i="8" s="1"/>
  <c r="T29" i="68"/>
  <c r="S30" i="68"/>
  <c r="V29" i="68"/>
  <c r="K14" i="8" l="1"/>
  <c r="L14" i="8" s="1"/>
  <c r="T30" i="68"/>
  <c r="V30" i="68"/>
  <c r="S31" i="68"/>
  <c r="K15" i="8" l="1"/>
  <c r="L15" i="8" s="1"/>
  <c r="T31" i="68"/>
  <c r="S32" i="68"/>
  <c r="V31" i="68"/>
  <c r="K16" i="8" l="1"/>
  <c r="L16" i="8" s="1"/>
  <c r="T32" i="68"/>
  <c r="V32" i="68"/>
  <c r="S33" i="68"/>
  <c r="K17" i="8" l="1"/>
  <c r="L17" i="8" s="1"/>
  <c r="T33" i="68"/>
  <c r="S34" i="68"/>
  <c r="V33" i="68"/>
  <c r="K18" i="8" l="1"/>
  <c r="L18" i="8" s="1"/>
  <c r="T34" i="68"/>
  <c r="S35" i="68"/>
  <c r="V34" i="68"/>
  <c r="K19" i="8" l="1"/>
  <c r="L19" i="8" s="1"/>
  <c r="T35" i="68"/>
  <c r="S36" i="68"/>
  <c r="V35" i="68"/>
  <c r="K20" i="8" l="1"/>
  <c r="L20" i="8" s="1"/>
  <c r="T36" i="68"/>
  <c r="S37" i="68"/>
  <c r="V36" i="68"/>
  <c r="K21" i="8" l="1"/>
  <c r="L21" i="8" s="1"/>
  <c r="T37" i="68"/>
  <c r="S38" i="68"/>
  <c r="V37" i="68"/>
  <c r="K22" i="8" l="1"/>
  <c r="L22" i="8" s="1"/>
  <c r="T38" i="68"/>
  <c r="V38" i="68"/>
  <c r="S39" i="68"/>
  <c r="K23" i="8" l="1"/>
  <c r="L23" i="8" s="1"/>
  <c r="T39" i="68"/>
  <c r="S40" i="68"/>
  <c r="V39" i="68"/>
  <c r="K24" i="8" l="1"/>
  <c r="L24" i="8" s="1"/>
  <c r="T40" i="68"/>
  <c r="V40" i="68"/>
  <c r="S41" i="68"/>
  <c r="K25" i="8" l="1"/>
  <c r="L25" i="8" s="1"/>
  <c r="T41" i="68"/>
  <c r="S42" i="68"/>
  <c r="V41" i="68"/>
  <c r="K26" i="8" l="1"/>
  <c r="L26" i="8" s="1"/>
  <c r="T42" i="68"/>
  <c r="S43" i="68"/>
  <c r="V42" i="68"/>
  <c r="K27" i="8" l="1"/>
  <c r="L27" i="8" s="1"/>
  <c r="T43" i="68"/>
  <c r="S44" i="68"/>
  <c r="V43" i="68"/>
  <c r="K28" i="8" l="1"/>
  <c r="L28" i="8" s="1"/>
  <c r="T44" i="68"/>
  <c r="V44" i="68"/>
  <c r="S45" i="68"/>
  <c r="K29" i="8" l="1"/>
  <c r="L29" i="8" s="1"/>
  <c r="T45" i="68"/>
  <c r="S46" i="68"/>
  <c r="V45" i="68"/>
  <c r="K30" i="8" l="1"/>
  <c r="L30" i="8" s="1"/>
  <c r="T46" i="68"/>
  <c r="V46" i="68"/>
  <c r="S47" i="68"/>
  <c r="K31" i="8" l="1"/>
  <c r="L31" i="8" s="1"/>
  <c r="T47" i="68"/>
  <c r="S48" i="68"/>
  <c r="V47" i="68"/>
  <c r="K32" i="8" l="1"/>
  <c r="L32" i="8" s="1"/>
  <c r="T48" i="68"/>
  <c r="V48" i="68"/>
  <c r="S49" i="68"/>
  <c r="K33" i="8" l="1"/>
  <c r="L33" i="8" s="1"/>
  <c r="T49" i="68"/>
  <c r="S50" i="68"/>
  <c r="V49" i="68"/>
  <c r="K34" i="8" l="1"/>
  <c r="L34" i="8" s="1"/>
  <c r="T50" i="68"/>
  <c r="S51" i="68"/>
  <c r="V50" i="68"/>
  <c r="K35" i="8" l="1"/>
  <c r="L35" i="8" s="1"/>
  <c r="T51" i="68"/>
  <c r="S52" i="68"/>
  <c r="V51" i="68"/>
  <c r="K36" i="8" l="1"/>
  <c r="L36" i="8" s="1"/>
  <c r="T52" i="68"/>
  <c r="S53" i="68"/>
  <c r="V52" i="68"/>
  <c r="K37" i="8" l="1"/>
  <c r="L37" i="8" s="1"/>
  <c r="T53" i="68"/>
  <c r="S54" i="68"/>
  <c r="V53" i="68"/>
  <c r="K38" i="8" l="1"/>
  <c r="L38" i="8" s="1"/>
  <c r="N6" i="8"/>
  <c r="T54" i="68"/>
  <c r="V54" i="68"/>
  <c r="S55" i="68"/>
  <c r="N7" i="8" l="1"/>
  <c r="O7" i="8" s="1"/>
  <c r="T55" i="68"/>
  <c r="S56" i="68"/>
  <c r="V55" i="68"/>
  <c r="N8" i="8" l="1"/>
  <c r="O8" i="8" s="1"/>
  <c r="T56" i="68"/>
  <c r="V56" i="68"/>
  <c r="S57" i="68"/>
  <c r="N9" i="8" l="1"/>
  <c r="O9" i="8" s="1"/>
  <c r="T57" i="68"/>
  <c r="S58" i="68"/>
  <c r="V57" i="68"/>
  <c r="N10" i="8" l="1"/>
  <c r="O10" i="8" s="1"/>
  <c r="T58" i="68"/>
  <c r="S59" i="68"/>
  <c r="V58" i="68"/>
  <c r="N11" i="8" l="1"/>
  <c r="O11" i="8" s="1"/>
  <c r="T59" i="68"/>
  <c r="V59" i="68"/>
  <c r="S60" i="68"/>
  <c r="N12" i="8" l="1"/>
  <c r="O12" i="8" s="1"/>
  <c r="T60" i="68"/>
  <c r="V60" i="68"/>
  <c r="S61" i="68"/>
  <c r="N13" i="8" l="1"/>
  <c r="O13" i="8" s="1"/>
  <c r="T61" i="68"/>
  <c r="S62" i="68"/>
  <c r="V61" i="68"/>
  <c r="N14" i="8" l="1"/>
  <c r="O14" i="8" s="1"/>
  <c r="T62" i="68"/>
  <c r="V62" i="68"/>
  <c r="S63" i="68"/>
  <c r="N15" i="8" l="1"/>
  <c r="O15" i="8" s="1"/>
  <c r="T63" i="68"/>
  <c r="S64" i="68"/>
  <c r="V63" i="68"/>
  <c r="N16" i="8" l="1"/>
  <c r="O16" i="8" s="1"/>
  <c r="T64" i="68"/>
  <c r="V64" i="68"/>
  <c r="S65" i="68"/>
  <c r="N17" i="8" l="1"/>
  <c r="O17" i="8" s="1"/>
  <c r="T65" i="68"/>
  <c r="S66" i="68"/>
  <c r="V65" i="68"/>
  <c r="N18" i="8" l="1"/>
  <c r="O18" i="8" s="1"/>
  <c r="T66" i="68"/>
  <c r="S67" i="68"/>
  <c r="V66" i="68"/>
  <c r="N19" i="8" l="1"/>
  <c r="O19" i="8" s="1"/>
  <c r="T67" i="68"/>
  <c r="S68" i="68"/>
  <c r="V67" i="68"/>
  <c r="N20" i="8" l="1"/>
  <c r="O20" i="8" s="1"/>
  <c r="T68" i="68"/>
  <c r="S69" i="68"/>
  <c r="V68" i="68"/>
  <c r="N21" i="8" l="1"/>
  <c r="O21" i="8" s="1"/>
  <c r="T69" i="68"/>
  <c r="S70" i="68"/>
  <c r="V69" i="68"/>
  <c r="N22" i="8" l="1"/>
  <c r="O22" i="8" s="1"/>
  <c r="T70" i="68"/>
  <c r="V70" i="68"/>
  <c r="S71" i="68"/>
  <c r="N23" i="8" l="1"/>
  <c r="O23" i="8" s="1"/>
  <c r="T71" i="68"/>
  <c r="S72" i="68"/>
  <c r="V71" i="68"/>
  <c r="N24" i="8" l="1"/>
  <c r="O24" i="8" s="1"/>
  <c r="T72" i="68"/>
  <c r="S73" i="68"/>
  <c r="V72" i="68"/>
  <c r="N25" i="8" l="1"/>
  <c r="O25" i="8" s="1"/>
  <c r="T73" i="68"/>
  <c r="S74" i="68"/>
  <c r="V73" i="68"/>
  <c r="N26" i="8" l="1"/>
  <c r="O26" i="8"/>
  <c r="T74" i="68"/>
  <c r="S75" i="68"/>
  <c r="V74" i="68"/>
  <c r="N27" i="8" l="1"/>
  <c r="O27" i="8" s="1"/>
  <c r="T75" i="68"/>
  <c r="S76" i="68"/>
  <c r="V75" i="68"/>
  <c r="N28" i="8" l="1"/>
  <c r="O28" i="8" s="1"/>
  <c r="T76" i="68"/>
  <c r="S77" i="68"/>
  <c r="V76" i="68"/>
  <c r="N29" i="8" l="1"/>
  <c r="O29" i="8" s="1"/>
  <c r="T77" i="68"/>
  <c r="S78" i="68"/>
  <c r="V77" i="68"/>
  <c r="N30" i="8" l="1"/>
  <c r="O30" i="8" s="1"/>
  <c r="T78" i="68"/>
  <c r="V78" i="68"/>
  <c r="S79" i="68"/>
  <c r="N31" i="8" l="1"/>
  <c r="T79" i="68"/>
  <c r="S80" i="68"/>
  <c r="V79" i="68"/>
  <c r="N32" i="8" l="1"/>
  <c r="O31" i="8"/>
  <c r="T80" i="68"/>
  <c r="S81" i="68"/>
  <c r="V80" i="68"/>
  <c r="N33" i="8" l="1"/>
  <c r="O33" i="8" s="1"/>
  <c r="O32" i="8"/>
  <c r="T81" i="68"/>
  <c r="S82" i="68"/>
  <c r="V81" i="68"/>
  <c r="N34" i="8" l="1"/>
  <c r="O34" i="8" s="1"/>
  <c r="T82" i="68"/>
  <c r="S83" i="68"/>
  <c r="V82" i="68"/>
  <c r="N35" i="8" l="1"/>
  <c r="T83" i="68"/>
  <c r="S84" i="68"/>
  <c r="V83" i="68"/>
  <c r="N36" i="8" l="1"/>
  <c r="O36" i="8" s="1"/>
  <c r="O35" i="8"/>
  <c r="T84" i="68"/>
  <c r="S85" i="68"/>
  <c r="V84" i="68"/>
  <c r="N37" i="8" l="1"/>
  <c r="O37" i="8" s="1"/>
  <c r="T85" i="68"/>
  <c r="S86" i="68"/>
  <c r="V85" i="68"/>
  <c r="N38" i="8" l="1"/>
  <c r="O38" i="8" s="1"/>
  <c r="T86" i="68"/>
  <c r="V86" i="68"/>
  <c r="S87" i="68"/>
  <c r="T87" i="68" l="1"/>
  <c r="S88" i="68"/>
  <c r="V87" i="68"/>
  <c r="T88" i="68" l="1"/>
  <c r="S89" i="68"/>
  <c r="V88" i="68"/>
  <c r="T89" i="68" l="1"/>
  <c r="S90" i="68"/>
  <c r="V89" i="68"/>
  <c r="T90" i="68" l="1"/>
  <c r="S91" i="68"/>
  <c r="V90" i="68"/>
  <c r="T91" i="68" l="1"/>
  <c r="S92" i="68"/>
  <c r="V91" i="68"/>
  <c r="T92" i="68" l="1"/>
  <c r="S93" i="68"/>
  <c r="V92" i="68"/>
  <c r="T93" i="68" l="1"/>
  <c r="S94" i="68"/>
  <c r="V93" i="68"/>
  <c r="T94" i="68" l="1"/>
  <c r="V94" i="68"/>
  <c r="S95" i="68"/>
  <c r="T95" i="68" l="1"/>
  <c r="S96" i="68"/>
  <c r="V95" i="68"/>
  <c r="T96" i="68" l="1"/>
  <c r="S97" i="68"/>
  <c r="V96" i="68"/>
  <c r="T97" i="68" l="1"/>
  <c r="S98" i="68"/>
  <c r="V97" i="68"/>
  <c r="T98" i="68" l="1"/>
  <c r="S99" i="68"/>
  <c r="V98" i="68"/>
  <c r="T99" i="68" l="1"/>
  <c r="S100" i="68"/>
  <c r="V99" i="68"/>
  <c r="T100" i="68" l="1"/>
  <c r="S101" i="68"/>
  <c r="V100" i="68"/>
  <c r="T101" i="68" l="1"/>
  <c r="S102" i="68"/>
  <c r="V101" i="68"/>
  <c r="T102" i="68" l="1"/>
  <c r="V102" i="68"/>
  <c r="S103" i="68"/>
  <c r="T103" i="68" l="1"/>
  <c r="S104" i="68"/>
  <c r="V103" i="68"/>
  <c r="T104" i="68" l="1"/>
  <c r="S105" i="68"/>
  <c r="V104" i="68"/>
  <c r="T105" i="68" l="1"/>
  <c r="S106" i="68"/>
  <c r="V105" i="68"/>
  <c r="T106" i="68" l="1"/>
  <c r="S107" i="68"/>
  <c r="V106" i="68"/>
  <c r="T107" i="68" l="1"/>
  <c r="S108" i="68"/>
  <c r="V107" i="68"/>
  <c r="T108" i="68" l="1"/>
  <c r="S109" i="68"/>
  <c r="V108" i="68"/>
  <c r="T109" i="68" l="1"/>
  <c r="S110" i="68"/>
  <c r="V109" i="68"/>
  <c r="T110" i="68" l="1"/>
  <c r="V110" i="68"/>
  <c r="S111" i="68"/>
  <c r="T111" i="68" l="1"/>
  <c r="S112" i="68"/>
  <c r="V111" i="68"/>
  <c r="T112" i="68" l="1"/>
  <c r="S113" i="68"/>
  <c r="V112" i="68"/>
  <c r="T113" i="68" l="1"/>
  <c r="S114" i="68"/>
  <c r="V113" i="68"/>
  <c r="T114" i="68" l="1"/>
  <c r="S115" i="68"/>
  <c r="V114" i="68"/>
  <c r="T115" i="68" l="1"/>
  <c r="S116" i="68"/>
  <c r="V115" i="68"/>
  <c r="T116" i="68" l="1"/>
  <c r="S117" i="68"/>
  <c r="V116" i="68"/>
  <c r="T117" i="68" l="1"/>
  <c r="S118" i="68"/>
  <c r="V117" i="68"/>
  <c r="T118" i="68" l="1"/>
  <c r="V118" i="68"/>
  <c r="S119" i="68"/>
  <c r="T119" i="68" l="1"/>
  <c r="S120" i="68"/>
  <c r="V119" i="68"/>
  <c r="T120" i="68" l="1"/>
  <c r="S121" i="68"/>
  <c r="V120" i="68"/>
  <c r="T121" i="68" l="1"/>
  <c r="S122" i="68"/>
  <c r="V121" i="68"/>
  <c r="T122" i="68" l="1"/>
  <c r="S123" i="68"/>
  <c r="V122" i="68"/>
  <c r="T123" i="68" l="1"/>
  <c r="S124" i="68"/>
  <c r="V123" i="68"/>
  <c r="T124" i="68" l="1"/>
  <c r="S125" i="68"/>
  <c r="V124" i="68"/>
  <c r="T125" i="68" l="1"/>
  <c r="S126" i="68"/>
  <c r="V125" i="68"/>
  <c r="T126" i="68" l="1"/>
  <c r="V126" i="68"/>
  <c r="S127" i="68"/>
  <c r="T127" i="68" l="1"/>
  <c r="S128" i="68"/>
  <c r="V127" i="68"/>
  <c r="T128" i="68" l="1"/>
  <c r="S129" i="68"/>
  <c r="V128" i="68"/>
  <c r="T129" i="68" l="1"/>
  <c r="S130" i="68"/>
  <c r="V129" i="68"/>
  <c r="T130" i="68" l="1"/>
  <c r="S131" i="68"/>
  <c r="V130" i="68"/>
  <c r="T131" i="68" l="1"/>
  <c r="S132" i="68"/>
  <c r="V131" i="68"/>
  <c r="T132" i="68" l="1"/>
  <c r="S133" i="68"/>
  <c r="V132" i="68"/>
  <c r="T133" i="68" l="1"/>
  <c r="V133" i="68"/>
  <c r="S134" i="68"/>
  <c r="T134" i="68" l="1"/>
  <c r="V134" i="68"/>
  <c r="S135" i="68"/>
  <c r="T135" i="68" l="1"/>
  <c r="S136" i="68"/>
  <c r="V135" i="68"/>
  <c r="T136" i="68" l="1"/>
  <c r="S137" i="68"/>
  <c r="V136" i="68"/>
  <c r="T137" i="68" l="1"/>
  <c r="V137" i="68"/>
  <c r="S138" i="68"/>
  <c r="T138" i="68" l="1"/>
  <c r="S139" i="68"/>
  <c r="V138" i="68"/>
  <c r="T139" i="68" l="1"/>
  <c r="S140" i="68"/>
  <c r="V139" i="68"/>
  <c r="T140" i="68" l="1"/>
  <c r="S141" i="68"/>
  <c r="V140" i="68"/>
  <c r="T141" i="68" l="1"/>
  <c r="S142" i="68"/>
  <c r="V141" i="68"/>
  <c r="T142" i="68" l="1"/>
  <c r="V142" i="68"/>
  <c r="S143" i="68"/>
  <c r="T143" i="68" l="1"/>
  <c r="V143" i="68"/>
  <c r="S144" i="68"/>
  <c r="T144" i="68" l="1"/>
  <c r="S145" i="68"/>
  <c r="V144" i="68"/>
  <c r="T145" i="68" l="1"/>
  <c r="S146" i="68"/>
  <c r="V145" i="68"/>
  <c r="T146" i="68" l="1"/>
  <c r="S147" i="68"/>
  <c r="V146" i="68"/>
  <c r="T147" i="68" l="1"/>
  <c r="S148" i="68"/>
  <c r="V147" i="68"/>
  <c r="T148" i="68" l="1"/>
  <c r="S149" i="68"/>
  <c r="V148" i="68"/>
  <c r="T149" i="68" l="1"/>
  <c r="V149" i="68"/>
  <c r="S150" i="68"/>
  <c r="T150" i="68" l="1"/>
  <c r="V150" i="68"/>
  <c r="S151" i="68"/>
  <c r="T151" i="68" l="1"/>
  <c r="S152" i="68"/>
  <c r="V151" i="68"/>
  <c r="T152" i="68" l="1"/>
  <c r="V152" i="68"/>
  <c r="S153" i="68"/>
  <c r="T153" i="68" l="1"/>
  <c r="S154" i="68"/>
  <c r="V153" i="68"/>
  <c r="T154" i="68" l="1"/>
  <c r="S155" i="68"/>
  <c r="V154" i="68"/>
  <c r="T155" i="68" l="1"/>
  <c r="S156" i="68"/>
  <c r="V155" i="68"/>
  <c r="T156" i="68" l="1"/>
  <c r="S157" i="68"/>
  <c r="V156" i="68"/>
  <c r="T157" i="68" l="1"/>
  <c r="S158" i="68"/>
  <c r="V157" i="68"/>
  <c r="T158" i="68" l="1"/>
  <c r="V158" i="68"/>
  <c r="S159" i="68"/>
  <c r="T159" i="68" l="1"/>
  <c r="S160" i="68"/>
  <c r="V159" i="68"/>
  <c r="T160" i="68" l="1"/>
  <c r="S161" i="68"/>
  <c r="V160" i="68"/>
  <c r="T161" i="68" l="1"/>
  <c r="S162" i="68"/>
  <c r="V161" i="68"/>
  <c r="T162" i="68" l="1"/>
  <c r="S163" i="68"/>
  <c r="V162" i="68"/>
  <c r="T163" i="68" l="1"/>
  <c r="S164" i="68"/>
  <c r="V163" i="68"/>
  <c r="T164" i="68" l="1"/>
  <c r="S165" i="68"/>
  <c r="V164" i="68"/>
  <c r="T165" i="68" l="1"/>
  <c r="S166" i="68"/>
  <c r="V165" i="68"/>
  <c r="T166" i="68" l="1"/>
  <c r="V166" i="68"/>
  <c r="S167" i="68"/>
  <c r="T167" i="68" l="1"/>
  <c r="S168" i="68"/>
  <c r="V167" i="68"/>
  <c r="T168" i="68" l="1"/>
  <c r="S169" i="68"/>
  <c r="V168" i="68"/>
  <c r="T169" i="68" l="1"/>
  <c r="S170" i="68"/>
  <c r="V169" i="68"/>
  <c r="T170" i="68" l="1"/>
  <c r="S171" i="68"/>
  <c r="V170" i="68"/>
  <c r="T171" i="68" l="1"/>
  <c r="S172" i="68"/>
  <c r="V171" i="68"/>
  <c r="T172" i="68" l="1"/>
  <c r="S173" i="68"/>
  <c r="V172" i="68"/>
  <c r="T173" i="68" l="1"/>
  <c r="S174" i="68"/>
  <c r="V173" i="68"/>
  <c r="T174" i="68" l="1"/>
  <c r="V174" i="68"/>
  <c r="S175" i="68"/>
  <c r="T175" i="68" l="1"/>
  <c r="S176" i="68"/>
  <c r="V175" i="68"/>
  <c r="T176" i="68" l="1"/>
  <c r="S177" i="68"/>
  <c r="V176" i="68"/>
  <c r="T177" i="68" l="1"/>
  <c r="S178" i="68"/>
  <c r="V177" i="68"/>
  <c r="T178" i="68" l="1"/>
  <c r="S179" i="68"/>
  <c r="V178" i="68"/>
  <c r="T179" i="68" l="1"/>
  <c r="S180" i="68"/>
  <c r="V179" i="68"/>
  <c r="T180" i="68" l="1"/>
  <c r="S181" i="68"/>
  <c r="V180" i="68"/>
  <c r="T181" i="68" l="1"/>
  <c r="S182" i="68"/>
  <c r="V181" i="68"/>
  <c r="T182" i="68" l="1"/>
  <c r="V182" i="68"/>
  <c r="S183" i="68"/>
  <c r="T183" i="68" l="1"/>
  <c r="S184" i="68"/>
  <c r="V183" i="68"/>
  <c r="T184" i="68" l="1"/>
  <c r="S185" i="68"/>
  <c r="V184" i="68"/>
  <c r="T185" i="68" l="1"/>
  <c r="S186" i="68"/>
  <c r="V185" i="68"/>
  <c r="T186" i="68" l="1"/>
  <c r="S187" i="68"/>
  <c r="V186" i="68"/>
  <c r="T187" i="68" l="1"/>
  <c r="S188" i="68"/>
  <c r="V187" i="68"/>
  <c r="T188" i="68" l="1"/>
  <c r="S189" i="68"/>
  <c r="V188" i="68"/>
  <c r="T189" i="68" l="1"/>
  <c r="S190" i="68"/>
  <c r="V189" i="68"/>
  <c r="T190" i="68" l="1"/>
  <c r="V190" i="68"/>
  <c r="S191" i="68"/>
  <c r="T191" i="68" l="1"/>
  <c r="S192" i="68"/>
  <c r="V191" i="68"/>
  <c r="T192" i="68" l="1"/>
  <c r="S193" i="68"/>
  <c r="V192" i="68"/>
  <c r="T193" i="68" l="1"/>
  <c r="S194" i="68"/>
  <c r="V193" i="68"/>
  <c r="T194" i="68" l="1"/>
  <c r="S195" i="68"/>
  <c r="V194" i="68"/>
  <c r="T195" i="68" l="1"/>
  <c r="V195" i="68"/>
  <c r="S196" i="68"/>
  <c r="T196" i="68" l="1"/>
  <c r="S197" i="68"/>
  <c r="V196" i="68"/>
  <c r="T197" i="68" l="1"/>
  <c r="S198" i="68"/>
  <c r="V197" i="68"/>
  <c r="T198" i="68" l="1"/>
  <c r="V198" i="68"/>
  <c r="S199" i="68"/>
  <c r="T199" i="68" l="1"/>
  <c r="S200" i="68"/>
  <c r="V199" i="68"/>
  <c r="T200" i="68" l="1"/>
  <c r="S201" i="68"/>
  <c r="V200" i="68"/>
  <c r="T201" i="68" l="1"/>
  <c r="S202" i="68"/>
  <c r="V201" i="68"/>
  <c r="T202" i="68" l="1"/>
  <c r="S203" i="68"/>
  <c r="V202" i="68"/>
  <c r="T203" i="68" l="1"/>
  <c r="S204" i="68"/>
  <c r="V203" i="68"/>
  <c r="T204" i="68" l="1"/>
  <c r="S205" i="68"/>
  <c r="V204" i="68"/>
  <c r="T205" i="68" l="1"/>
  <c r="S206" i="68"/>
  <c r="V205" i="68"/>
  <c r="T206" i="68" l="1"/>
  <c r="V206" i="68"/>
  <c r="S207" i="68"/>
  <c r="T207" i="68" l="1"/>
  <c r="S208" i="68"/>
  <c r="V207" i="68"/>
  <c r="T208" i="68" l="1"/>
  <c r="S209" i="68"/>
  <c r="V208" i="68"/>
  <c r="T209" i="68" l="1"/>
  <c r="S210" i="68"/>
  <c r="V209" i="68"/>
  <c r="T210" i="68" l="1"/>
  <c r="S211" i="68"/>
  <c r="V210" i="68"/>
  <c r="T211" i="68" l="1"/>
  <c r="S212" i="68"/>
  <c r="V211" i="68"/>
  <c r="T212" i="68" l="1"/>
  <c r="S213" i="68"/>
  <c r="V212" i="68"/>
  <c r="T213" i="68" l="1"/>
  <c r="S214" i="68"/>
  <c r="V213" i="68"/>
  <c r="T214" i="68" l="1"/>
  <c r="V214" i="68"/>
  <c r="S215" i="68"/>
  <c r="T215" i="68" l="1"/>
  <c r="S216" i="68"/>
  <c r="V215" i="68"/>
  <c r="T216" i="68" l="1"/>
  <c r="S217" i="68"/>
  <c r="V216" i="68"/>
  <c r="T217" i="68" l="1"/>
  <c r="S218" i="68"/>
  <c r="V217" i="68"/>
  <c r="T218" i="68" l="1"/>
  <c r="S219" i="68"/>
  <c r="V218" i="68"/>
  <c r="T219" i="68" l="1"/>
  <c r="S220" i="68"/>
  <c r="V219" i="68"/>
  <c r="T220" i="68" l="1"/>
  <c r="S221" i="68"/>
  <c r="V220" i="68"/>
  <c r="T221" i="68" l="1"/>
  <c r="S222" i="68"/>
  <c r="V221" i="68"/>
  <c r="T222" i="68" l="1"/>
  <c r="V222" i="68"/>
  <c r="S223" i="68"/>
  <c r="T223" i="68" l="1"/>
  <c r="S224" i="68"/>
  <c r="V223" i="68"/>
  <c r="T224" i="68" l="1"/>
  <c r="S225" i="68"/>
  <c r="V224" i="68"/>
  <c r="T225" i="68" l="1"/>
  <c r="S226" i="68"/>
  <c r="V225" i="68"/>
  <c r="T226" i="68" l="1"/>
  <c r="S227" i="68"/>
  <c r="V226" i="68"/>
  <c r="T227" i="68" l="1"/>
  <c r="S228" i="68"/>
  <c r="V227" i="68"/>
  <c r="T228" i="68" l="1"/>
  <c r="S229" i="68"/>
  <c r="V228" i="68"/>
  <c r="T229" i="68" l="1"/>
  <c r="S230" i="68"/>
  <c r="V229" i="68"/>
  <c r="T230" i="68" l="1"/>
  <c r="V230" i="68"/>
  <c r="S231" i="68"/>
  <c r="T231" i="68" l="1"/>
  <c r="V231" i="68"/>
  <c r="S232" i="68"/>
  <c r="T232" i="68" l="1"/>
  <c r="S233" i="68"/>
  <c r="V232" i="68"/>
  <c r="T233" i="68" l="1"/>
  <c r="S234" i="68"/>
  <c r="V233" i="68"/>
  <c r="T234" i="68" l="1"/>
  <c r="S235" i="68"/>
  <c r="V234" i="68"/>
  <c r="T235" i="68" l="1"/>
  <c r="S236" i="68"/>
  <c r="V235" i="68"/>
  <c r="T236" i="68" l="1"/>
  <c r="S237" i="68"/>
  <c r="V236" i="68"/>
  <c r="T237" i="68" l="1"/>
  <c r="S238" i="68"/>
  <c r="V237" i="68"/>
  <c r="T238" i="68" l="1"/>
  <c r="V238" i="68"/>
  <c r="S239" i="68"/>
  <c r="T239" i="68" l="1"/>
  <c r="V239" i="68"/>
  <c r="S240" i="68"/>
  <c r="T240" i="68" l="1"/>
  <c r="S241" i="68"/>
  <c r="V240" i="68"/>
  <c r="T241" i="68" l="1"/>
  <c r="S242" i="68"/>
  <c r="V241" i="68"/>
  <c r="T242" i="68" l="1"/>
  <c r="S243" i="68"/>
  <c r="V242" i="68"/>
  <c r="T243" i="68" l="1"/>
  <c r="S244" i="68"/>
  <c r="V243" i="68"/>
  <c r="T244" i="68" l="1"/>
  <c r="S245" i="68"/>
  <c r="V244" i="68"/>
  <c r="T245" i="68" l="1"/>
  <c r="V245" i="68"/>
  <c r="S246" i="68"/>
  <c r="T246" i="68" l="1"/>
  <c r="V246" i="68"/>
  <c r="S247" i="68"/>
  <c r="T247" i="68" l="1"/>
  <c r="V247" i="68"/>
  <c r="S248" i="68"/>
  <c r="T248" i="68" l="1"/>
  <c r="V248" i="68"/>
  <c r="S249" i="68"/>
  <c r="T249" i="68" l="1"/>
  <c r="V249" i="68"/>
  <c r="S250" i="68"/>
  <c r="T250" i="68" l="1"/>
  <c r="V250" i="68"/>
  <c r="S251" i="68"/>
  <c r="T251" i="68" l="1"/>
  <c r="V251" i="68"/>
  <c r="S252" i="68"/>
  <c r="T252" i="68" l="1"/>
  <c r="V252" i="68"/>
  <c r="S253" i="68"/>
  <c r="T253" i="68" l="1"/>
  <c r="V253" i="68"/>
  <c r="S254" i="68"/>
  <c r="T254" i="68" l="1"/>
  <c r="V254" i="68"/>
  <c r="S255" i="68"/>
  <c r="T255" i="68" l="1"/>
  <c r="V255" i="68"/>
  <c r="S256" i="68"/>
  <c r="T256" i="68" l="1"/>
  <c r="V256" i="68"/>
  <c r="S257" i="68"/>
  <c r="T257" i="68" l="1"/>
  <c r="V257" i="68"/>
  <c r="S258" i="68"/>
  <c r="T258" i="68" l="1"/>
  <c r="V258" i="68"/>
  <c r="S259" i="68"/>
  <c r="T259" i="68" l="1"/>
  <c r="V259" i="68"/>
  <c r="S260" i="68"/>
  <c r="T260" i="68" l="1"/>
  <c r="V260" i="68"/>
  <c r="S261" i="68"/>
  <c r="T261" i="68" l="1"/>
  <c r="V261" i="68"/>
  <c r="S262" i="68"/>
  <c r="T262" i="68" l="1"/>
  <c r="V262" i="68"/>
  <c r="S263" i="68"/>
  <c r="T263" i="68" l="1"/>
  <c r="V263" i="68"/>
  <c r="S264" i="68"/>
  <c r="T264" i="68" l="1"/>
  <c r="V264" i="68"/>
  <c r="S265" i="68"/>
  <c r="T265" i="68" l="1"/>
  <c r="V265" i="68"/>
  <c r="S266" i="68"/>
  <c r="T266" i="68" l="1"/>
  <c r="V266" i="68"/>
  <c r="S267" i="68"/>
  <c r="T267" i="68" l="1"/>
  <c r="V267" i="68"/>
  <c r="S268" i="68"/>
  <c r="T268" i="68" l="1"/>
  <c r="V268" i="68"/>
  <c r="S269" i="68"/>
  <c r="T269" i="68" l="1"/>
  <c r="V269" i="68"/>
  <c r="S270" i="68"/>
  <c r="T270" i="68" l="1"/>
  <c r="V270" i="68"/>
  <c r="S271" i="68"/>
  <c r="T271" i="68" l="1"/>
  <c r="V271" i="68"/>
  <c r="S272" i="68"/>
  <c r="T272" i="68" l="1"/>
  <c r="V272" i="68"/>
  <c r="S273" i="68"/>
  <c r="T273" i="68" l="1"/>
  <c r="V273" i="68"/>
  <c r="S274" i="68"/>
  <c r="T274" i="68" l="1"/>
  <c r="V274" i="68"/>
  <c r="S275" i="68"/>
  <c r="T275" i="68" l="1"/>
  <c r="V275" i="68"/>
  <c r="S276" i="68"/>
  <c r="T276" i="68" l="1"/>
  <c r="V276" i="68"/>
  <c r="S277" i="68"/>
  <c r="T277" i="68" l="1"/>
  <c r="V277" i="68"/>
  <c r="S278" i="68"/>
  <c r="T278" i="68" l="1"/>
  <c r="V278" i="68"/>
  <c r="S279" i="68"/>
  <c r="T279" i="68" l="1"/>
  <c r="V279" i="68"/>
  <c r="S280" i="68"/>
  <c r="T280" i="68" l="1"/>
  <c r="V280" i="68"/>
  <c r="S281" i="68"/>
  <c r="T281" i="68" l="1"/>
  <c r="V281" i="68"/>
  <c r="S282" i="68"/>
  <c r="T282" i="68" l="1"/>
  <c r="V282" i="68"/>
  <c r="S283" i="68"/>
  <c r="T283" i="68" l="1"/>
  <c r="V283" i="68"/>
  <c r="S284" i="68"/>
  <c r="T284" i="68" l="1"/>
  <c r="V284" i="68"/>
  <c r="S285" i="68"/>
  <c r="T285" i="68" l="1"/>
  <c r="V285" i="68"/>
  <c r="S286" i="68"/>
  <c r="T286" i="68" l="1"/>
  <c r="V286" i="68"/>
  <c r="S287" i="68"/>
  <c r="T287" i="68" l="1"/>
  <c r="V287" i="68"/>
  <c r="S288" i="68"/>
  <c r="T288" i="68" l="1"/>
  <c r="V288" i="68"/>
  <c r="S289" i="68"/>
  <c r="T289" i="68" l="1"/>
  <c r="V289" i="68"/>
  <c r="S290" i="68"/>
  <c r="T290" i="68" l="1"/>
  <c r="V290" i="68"/>
  <c r="S291" i="68"/>
  <c r="T291" i="68" l="1"/>
  <c r="V291" i="68"/>
  <c r="S292" i="68"/>
  <c r="T292" i="68" l="1"/>
  <c r="V292" i="68"/>
  <c r="S293" i="68"/>
  <c r="T293" i="68" l="1"/>
  <c r="V293" i="68"/>
  <c r="S294" i="68"/>
  <c r="T294" i="68" l="1"/>
  <c r="V294" i="68"/>
  <c r="S295" i="68"/>
  <c r="T295" i="68" l="1"/>
  <c r="V295" i="68"/>
  <c r="S296" i="68"/>
  <c r="T296" i="68" l="1"/>
  <c r="V296" i="68"/>
  <c r="S297" i="68"/>
  <c r="T297" i="68" l="1"/>
  <c r="V297" i="68"/>
  <c r="S298" i="68"/>
  <c r="T298" i="68" l="1"/>
  <c r="V298" i="68"/>
  <c r="S299" i="68"/>
  <c r="T299" i="68" l="1"/>
  <c r="V299" i="68"/>
  <c r="S300" i="68"/>
  <c r="T300" i="68" l="1"/>
  <c r="V300" i="68"/>
  <c r="S301" i="68"/>
  <c r="T301" i="68" l="1"/>
  <c r="V301" i="68"/>
  <c r="S302" i="68"/>
  <c r="T302" i="68" l="1"/>
  <c r="V302" i="68"/>
  <c r="S303" i="68"/>
  <c r="T303" i="68" l="1"/>
  <c r="V303" i="68"/>
  <c r="S304" i="68"/>
  <c r="T304" i="68" l="1"/>
  <c r="V304" i="68"/>
  <c r="S305" i="68"/>
  <c r="T305" i="68" l="1"/>
  <c r="V305" i="68"/>
  <c r="S306" i="68"/>
  <c r="T306" i="68" l="1"/>
  <c r="V306" i="68"/>
  <c r="S307" i="68"/>
  <c r="T307" i="68" l="1"/>
  <c r="V307" i="68"/>
  <c r="S308" i="68"/>
  <c r="T308" i="68" l="1"/>
  <c r="V308" i="68"/>
  <c r="S309" i="68"/>
  <c r="T309" i="68" l="1"/>
  <c r="V309" i="68"/>
  <c r="S310" i="68"/>
  <c r="T310" i="68" l="1"/>
  <c r="V310" i="68"/>
  <c r="S311" i="68"/>
  <c r="T311" i="68" l="1"/>
  <c r="V311" i="68"/>
  <c r="S312" i="68"/>
  <c r="T312" i="68" l="1"/>
  <c r="V312" i="68"/>
  <c r="S313" i="68"/>
  <c r="T313" i="68" l="1"/>
  <c r="V313" i="68"/>
  <c r="S314" i="68"/>
  <c r="T314" i="68" l="1"/>
  <c r="V314" i="68"/>
  <c r="S315" i="68"/>
  <c r="T315" i="68" l="1"/>
  <c r="V315" i="68"/>
  <c r="S316" i="68"/>
  <c r="T316" i="68" l="1"/>
  <c r="V316" i="68"/>
  <c r="S317" i="68"/>
  <c r="T317" i="68" l="1"/>
  <c r="V317" i="68"/>
  <c r="S318" i="68"/>
  <c r="T318" i="68" l="1"/>
  <c r="V318" i="68"/>
  <c r="S319" i="68"/>
  <c r="T319" i="68" l="1"/>
  <c r="V319" i="68"/>
  <c r="S320" i="68"/>
  <c r="T320" i="68" l="1"/>
  <c r="V320" i="68"/>
  <c r="S321" i="68"/>
  <c r="T321" i="68" l="1"/>
  <c r="V321" i="68"/>
  <c r="S322" i="68"/>
  <c r="T322" i="68" l="1"/>
  <c r="V322" i="68"/>
  <c r="S323" i="68"/>
  <c r="T323" i="68" l="1"/>
  <c r="V323" i="68"/>
  <c r="S324" i="68"/>
  <c r="T324" i="68" l="1"/>
  <c r="V324" i="68"/>
  <c r="S325" i="68"/>
  <c r="T325" i="68" l="1"/>
  <c r="V325" i="68"/>
  <c r="S326" i="68"/>
  <c r="T326" i="68" l="1"/>
  <c r="V326" i="68"/>
  <c r="S327" i="68"/>
  <c r="T327" i="68" l="1"/>
  <c r="V327" i="68"/>
  <c r="S328" i="68"/>
  <c r="T328" i="68" l="1"/>
  <c r="V328" i="68"/>
  <c r="S329" i="68"/>
  <c r="T329" i="68" l="1"/>
  <c r="V329" i="68"/>
  <c r="S330" i="68"/>
  <c r="T330" i="68" l="1"/>
  <c r="V330" i="68"/>
  <c r="S331" i="68"/>
  <c r="T331" i="68" l="1"/>
  <c r="V331" i="68"/>
  <c r="S332" i="68"/>
  <c r="T332" i="68" l="1"/>
  <c r="V332" i="68"/>
  <c r="S333" i="68"/>
  <c r="T333" i="68" l="1"/>
  <c r="V333" i="68"/>
  <c r="S334" i="68"/>
  <c r="T334" i="68" l="1"/>
  <c r="V334" i="68"/>
  <c r="S335" i="68"/>
  <c r="T335" i="68" l="1"/>
  <c r="V335" i="68"/>
  <c r="S336" i="68"/>
  <c r="T336" i="68" l="1"/>
  <c r="V336" i="68"/>
  <c r="S337" i="68"/>
  <c r="T337" i="68" l="1"/>
  <c r="V337" i="68"/>
  <c r="S338" i="68"/>
  <c r="T338" i="68" l="1"/>
  <c r="V338" i="68"/>
  <c r="S339" i="68"/>
  <c r="T339" i="68" l="1"/>
  <c r="V339" i="68"/>
  <c r="S340" i="68"/>
  <c r="T340" i="68" l="1"/>
  <c r="V340" i="68"/>
  <c r="S341" i="68"/>
  <c r="T341" i="68" l="1"/>
  <c r="V341" i="68"/>
  <c r="S342" i="68"/>
  <c r="T342" i="68" l="1"/>
  <c r="V342" i="68"/>
  <c r="S343" i="68"/>
  <c r="T343" i="68" l="1"/>
  <c r="V343" i="68"/>
  <c r="S344" i="68"/>
  <c r="T344" i="68" l="1"/>
  <c r="V344" i="68"/>
  <c r="S345" i="68"/>
  <c r="T345" i="68" l="1"/>
  <c r="V345" i="68"/>
  <c r="S346" i="68"/>
  <c r="T346" i="68" l="1"/>
  <c r="V346" i="68"/>
  <c r="S347" i="68"/>
  <c r="T347" i="68" l="1"/>
  <c r="V347" i="68"/>
  <c r="S348" i="68"/>
  <c r="T348" i="68" l="1"/>
  <c r="V348" i="68"/>
  <c r="S349" i="68"/>
  <c r="T349" i="68" l="1"/>
  <c r="V349" i="68"/>
  <c r="S350" i="68"/>
  <c r="T350" i="68" l="1"/>
  <c r="V350" i="68"/>
  <c r="S351" i="68"/>
  <c r="T351" i="68" l="1"/>
  <c r="V351" i="68"/>
  <c r="S352" i="68"/>
  <c r="T352" i="68" l="1"/>
  <c r="V352" i="68"/>
  <c r="S353" i="68"/>
  <c r="T353" i="68" l="1"/>
  <c r="V353" i="68"/>
  <c r="S354" i="68"/>
  <c r="T354" i="68" l="1"/>
  <c r="V354" i="68"/>
  <c r="S355" i="68"/>
  <c r="T355" i="68" l="1"/>
  <c r="V355" i="68"/>
  <c r="S356" i="68"/>
  <c r="T356" i="68" l="1"/>
  <c r="V356" i="68"/>
  <c r="S357" i="68"/>
  <c r="T357" i="68" l="1"/>
  <c r="V357" i="68"/>
  <c r="S358" i="68"/>
  <c r="V358" i="68" l="1"/>
  <c r="V359" i="68" l="1"/>
  <c r="V360" i="68" l="1"/>
  <c r="V361" i="68" l="1"/>
  <c r="V362" i="68" l="1"/>
  <c r="V363" i="68" l="1"/>
  <c r="V364" i="68" l="1"/>
  <c r="V365" i="68" l="1"/>
  <c r="V366" i="68" l="1"/>
  <c r="S367" i="68"/>
  <c r="T367" i="68" l="1"/>
  <c r="V367" i="68"/>
  <c r="C48" i="101" l="1"/>
  <c r="B48" i="101"/>
  <c r="C47" i="101"/>
  <c r="B47" i="101"/>
  <c r="C46" i="101"/>
  <c r="B46" i="101"/>
  <c r="C45" i="101"/>
  <c r="B45" i="101"/>
  <c r="C44" i="101"/>
  <c r="B44" i="101"/>
  <c r="C43" i="101"/>
  <c r="B43" i="101"/>
  <c r="D20" i="101"/>
  <c r="D6" i="101" s="1"/>
  <c r="C11" i="101" l="1"/>
  <c r="D7" i="101"/>
  <c r="C12" i="101" s="1"/>
  <c r="C13" i="101" l="1"/>
  <c r="F51" i="92" l="1"/>
  <c r="D51" i="92" l="1"/>
  <c r="G51" i="92" s="1"/>
  <c r="E51" i="92"/>
  <c r="D12" i="98"/>
  <c r="P12" i="98" l="1"/>
  <c r="C19" i="99"/>
  <c r="D29" i="98"/>
  <c r="D27" i="68" l="1"/>
  <c r="E27" i="68"/>
  <c r="M27" i="68"/>
  <c r="K27" i="68"/>
  <c r="L27" i="68"/>
  <c r="G27" i="68"/>
  <c r="N27" i="68"/>
  <c r="J27" i="68"/>
  <c r="F27" i="68"/>
  <c r="I27" i="68"/>
  <c r="H27" i="68"/>
  <c r="O27" i="68"/>
  <c r="H28" i="68" l="1"/>
  <c r="F28" i="68"/>
  <c r="M28" i="68"/>
  <c r="K28" i="68"/>
  <c r="J28" i="68"/>
  <c r="E28" i="68"/>
  <c r="I28" i="68"/>
  <c r="N28" i="68"/>
  <c r="G28" i="68"/>
  <c r="D28" i="68"/>
  <c r="L28" i="68"/>
  <c r="O28" i="68"/>
  <c r="E50" i="88" l="1"/>
  <c r="F50" i="88"/>
  <c r="H50" i="88" l="1"/>
  <c r="F39" i="91"/>
  <c r="F43" i="91" s="1"/>
  <c r="E22" i="92" s="1"/>
  <c r="E32" i="91"/>
  <c r="F32" i="91"/>
  <c r="F36" i="91" s="1"/>
  <c r="E21" i="92" s="1"/>
  <c r="E25" i="92" s="1"/>
  <c r="E39" i="91"/>
  <c r="E47" i="88" l="1"/>
  <c r="E36" i="91"/>
  <c r="H32" i="91"/>
  <c r="E43" i="91"/>
  <c r="H39" i="91"/>
  <c r="E16" i="88"/>
  <c r="D35" i="96"/>
  <c r="F16" i="88"/>
  <c r="E26" i="92" s="1"/>
  <c r="E27" i="92" s="1"/>
  <c r="D36" i="96"/>
  <c r="P36" i="96" s="1"/>
  <c r="F47" i="88"/>
  <c r="F49" i="88" s="1"/>
  <c r="F51" i="88" s="1"/>
  <c r="F14" i="93" s="1"/>
  <c r="F15" i="93" s="1"/>
  <c r="G19" i="82" l="1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C14" i="99"/>
  <c r="B14" i="99" s="1"/>
  <c r="E17" i="88"/>
  <c r="G49" i="88"/>
  <c r="E14" i="93"/>
  <c r="H51" i="88"/>
  <c r="G48" i="88"/>
  <c r="G50" i="88"/>
  <c r="G51" i="88" s="1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F14" i="99"/>
  <c r="I30" i="100" l="1"/>
  <c r="D8" i="100" s="1"/>
  <c r="G15" i="88"/>
  <c r="G13" i="88"/>
  <c r="G12" i="88"/>
  <c r="H17" i="88"/>
  <c r="G14" i="88"/>
  <c r="G16" i="88"/>
  <c r="G11" i="88"/>
  <c r="B34" i="99"/>
  <c r="C34" i="99" s="1"/>
  <c r="B33" i="99"/>
  <c r="C33" i="99" s="1"/>
  <c r="B35" i="99"/>
  <c r="C35" i="99" s="1"/>
  <c r="F13" i="99"/>
  <c r="E14" i="99"/>
  <c r="E13" i="99" s="1"/>
  <c r="F25" i="92"/>
  <c r="H14" i="93"/>
  <c r="E15" i="93"/>
  <c r="G14" i="93" s="1"/>
  <c r="F38" i="93"/>
  <c r="E25" i="93"/>
  <c r="P9" i="96"/>
  <c r="P23" i="96"/>
  <c r="P30" i="96"/>
  <c r="P16" i="96"/>
  <c r="P37" i="96"/>
  <c r="H6" i="100" l="1"/>
  <c r="F8" i="100"/>
  <c r="H8" i="100"/>
  <c r="B7" i="100"/>
  <c r="D6" i="100"/>
  <c r="B11" i="100"/>
  <c r="H12" i="100"/>
  <c r="D11" i="100"/>
  <c r="B12" i="100"/>
  <c r="H7" i="100"/>
  <c r="F7" i="100"/>
  <c r="B8" i="100"/>
  <c r="H11" i="100"/>
  <c r="F6" i="100"/>
  <c r="F12" i="100"/>
  <c r="F11" i="100"/>
  <c r="D12" i="100"/>
  <c r="B6" i="100"/>
  <c r="D7" i="100"/>
  <c r="J12" i="100"/>
  <c r="B12" i="99" s="1"/>
  <c r="B13" i="99" s="1"/>
  <c r="J8" i="100"/>
  <c r="D7" i="99" s="1"/>
  <c r="J6" i="100"/>
  <c r="B7" i="99" s="1"/>
  <c r="J11" i="100"/>
  <c r="C12" i="99" s="1"/>
  <c r="C13" i="99" s="1"/>
  <c r="J7" i="100"/>
  <c r="C7" i="99" s="1"/>
  <c r="G12" i="93"/>
  <c r="G11" i="93"/>
  <c r="G13" i="93"/>
  <c r="H15" i="93"/>
  <c r="G17" i="88"/>
  <c r="G15" i="93" l="1"/>
</calcChain>
</file>

<file path=xl/sharedStrings.xml><?xml version="1.0" encoding="utf-8"?>
<sst xmlns="http://schemas.openxmlformats.org/spreadsheetml/2006/main" count="984" uniqueCount="412">
  <si>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</si>
  <si>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</si>
  <si>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</si>
  <si>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</si>
  <si>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</si>
  <si>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</si>
  <si>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</si>
  <si>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</si>
  <si>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</si>
  <si>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</si>
  <si>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</si>
  <si>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</si>
  <si>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</si>
  <si>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</si>
  <si>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</si>
  <si>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</si>
  <si>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</si>
  <si>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</si>
  <si>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</si>
  <si>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</si>
  <si>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</si>
  <si>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</si>
  <si>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</si>
  <si>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</si>
  <si>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</si>
  <si>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</si>
  <si>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</si>
  <si>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</si>
  <si>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</si>
  <si>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</si>
  <si>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</si>
  <si>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</si>
  <si>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</si>
  <si>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</si>
  <si>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</si>
  <si>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</si>
  <si>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</si>
  <si>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</si>
  <si>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</si>
  <si>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</si>
  <si>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</si>
  <si>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</si>
  <si>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</si>
  <si>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</si>
  <si>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</si>
  <si>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</si>
  <si>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</si>
  <si>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</si>
  <si>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</si>
  <si>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</si>
  <si>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</si>
  <si>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</si>
  <si>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</si>
  <si>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</si>
  <si>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</si>
  <si>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</si>
  <si>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</si>
  <si>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</si>
  <si>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</si>
  <si>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</si>
  <si>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</si>
  <si>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</si>
  <si>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</si>
  <si>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</si>
  <si>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</si>
  <si>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</si>
  <si>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</si>
  <si>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</si>
  <si>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</si>
  <si>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</si>
  <si>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</si>
  <si>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</si>
  <si>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</si>
  <si>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</si>
  <si>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</si>
  <si>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</si>
  <si>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</si>
  <si>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</si>
  <si>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</si>
  <si>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</si>
  <si>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</si>
  <si>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</si>
  <si>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</si>
  <si>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</si>
  <si>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</si>
  <si>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</si>
  <si>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</si>
  <si>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</si>
  <si>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</si>
  <si>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</si>
  <si>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</si>
  <si>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</si>
  <si>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</si>
  <si>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</si>
  <si>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</si>
  <si>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</si>
  <si>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</si>
  <si>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</si>
  <si>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</si>
  <si>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</si>
  <si>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</si>
  <si>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</si>
  <si>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</si>
  <si>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</si>
  <si>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</si>
  <si>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</si>
  <si>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</si>
  <si>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</si>
  <si>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</si>
  <si>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</si>
  <si>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</si>
  <si>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</si>
  <si>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</si>
  <si>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</si>
  <si>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</si>
  <si>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</si>
  <si>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</si>
  <si>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</si>
  <si>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</si>
  <si>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</si>
  <si>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</si>
  <si>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</si>
  <si>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</si>
  <si>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</si>
  <si>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</si>
  <si>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</si>
  <si>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</si>
  <si>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</si>
  <si>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%</t>
  </si>
  <si>
    <t>Kategorie</t>
  </si>
  <si>
    <t>DTG</t>
  </si>
  <si>
    <t>Denní teplotní gradient (změna spotřeby plynu při jednotkové změně teploty)</t>
  </si>
  <si>
    <t>TDD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</si>
  <si>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</si>
  <si>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</si>
  <si>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</si>
  <si>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</si>
  <si>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</si>
  <si>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</si>
  <si>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</si>
  <si>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</si>
  <si>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NECHZ</t>
  </si>
  <si>
    <t>Nechránění zákazníci (zákazníci s odběrnými místy zařazenými do skupin A, B1, B2, C2, E)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</si>
  <si>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</si>
  <si>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</si>
  <si>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</si>
  <si>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</si>
  <si>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</si>
  <si>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</si>
  <si>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</si>
  <si>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</si>
  <si>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</si>
  <si>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</si>
  <si>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</si>
  <si>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</si>
  <si>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</si>
  <si>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</si>
  <si>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</si>
  <si>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</si>
  <si>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</si>
  <si>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</si>
  <si>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</si>
  <si>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</si>
  <si>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</si>
  <si>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</si>
  <si>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</si>
  <si>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</si>
  <si>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</si>
  <si>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</si>
  <si>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</si>
  <si>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</si>
  <si>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</si>
  <si>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</si>
  <si>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</si>
  <si>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</si>
  <si>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</si>
  <si>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</si>
  <si>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</si>
  <si>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</si>
  <si>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</si>
  <si>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</si>
  <si>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</si>
  <si>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</si>
  <si>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</si>
  <si>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</si>
  <si>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</si>
  <si>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</si>
  <si>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</si>
  <si>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</si>
  <si>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</si>
  <si>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</si>
  <si>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</si>
  <si>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</si>
  <si>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</si>
  <si>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</si>
  <si>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</si>
  <si>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</si>
  <si>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</si>
  <si>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</si>
  <si>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</si>
  <si>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</si>
  <si>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</si>
  <si>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</si>
  <si>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</si>
  <si>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</si>
  <si>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</si>
  <si>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</si>
  <si>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</si>
  <si>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</si>
  <si>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</si>
  <si>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</si>
  <si>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</si>
  <si>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</si>
  <si>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</si>
  <si>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</si>
  <si>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</si>
  <si>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</si>
  <si>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</si>
  <si>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</si>
  <si>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</si>
  <si>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Tabulka č. 14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</si>
  <si>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</si>
  <si>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</si>
  <si>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</si>
  <si>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</si>
  <si>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</si>
  <si>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</si>
  <si>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</si>
  <si>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</si>
  <si>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</si>
  <si>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* Zákazníci připojení přímo na přepravní soustavu NET4GAS, s.r.o. a zákazníci v lokální distribuční soustavě Green Gas DPB, a.s., (není zahrnuta v regionální distribuční soustavě) jsou rozděleny u České republiky do příslušných kategorií odběru. Vlastní spotřeba (VS) výrobců plynu je přičtena u České republiky do položky ostatní plyn (OP).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</si>
  <si>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</si>
  <si>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</si>
  <si>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</si>
  <si>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</si>
  <si>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</si>
  <si>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</si>
  <si>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</si>
  <si>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</si>
  <si>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</si>
  <si>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</si>
  <si>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</si>
  <si>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</si>
  <si>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</si>
  <si>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</si>
  <si>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</si>
  <si>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</si>
  <si>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</si>
  <si>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</si>
  <si>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</si>
  <si>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</si>
  <si>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</si>
  <si>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</si>
  <si>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</si>
  <si>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</si>
  <si>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</si>
  <si>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</si>
  <si>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</si>
  <si>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</si>
  <si>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</si>
  <si>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</si>
  <si>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</si>
  <si>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</si>
  <si>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</si>
  <si>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</si>
  <si>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</si>
  <si>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</si>
  <si>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</si>
  <si>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</si>
  <si>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</si>
  <si>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</si>
  <si>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</si>
  <si>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>Bezpečnostní standard dodávky *</t>
  </si>
  <si>
    <t>Velikost zajištení BSD v ČR</t>
  </si>
  <si>
    <t>Dodávka CHZ a NECHZ</t>
  </si>
  <si>
    <t>Dodávka CHZ *</t>
  </si>
  <si>
    <t>Dodávka NECHZ</t>
  </si>
  <si>
    <t>Dodávka CHZ + NECHZ</t>
  </si>
  <si>
    <t>Den 
maximum</t>
  </si>
  <si>
    <t>Měsíc skutečnost</t>
  </si>
  <si>
    <t>Měsíc přepočet</t>
  </si>
  <si>
    <t>Spotřeba plynu</t>
  </si>
  <si>
    <t>Při teplotě (°C)</t>
  </si>
  <si>
    <t>Historická spotřeba plynu v ČR</t>
  </si>
  <si>
    <t>Maximální spotřeba plynu</t>
  </si>
  <si>
    <t>Datum maximální spotřeby plynu</t>
  </si>
  <si>
    <t>BSD (30 dnů)</t>
  </si>
  <si>
    <t>BSD (N-1)</t>
  </si>
  <si>
    <t>Celková skutečná dodávka</t>
  </si>
  <si>
    <t>* Všechna data jsou uvedena na základě údajů od obchodníků s plynem a výrobců plynu zajišťujících BSD.</t>
  </si>
  <si>
    <t>Bezpečnostní standard dodávky v ČR v průběhu topné sezóny</t>
  </si>
  <si>
    <t>BSD *</t>
  </si>
  <si>
    <t>Říjen 2014</t>
  </si>
  <si>
    <t>Listopad 2014</t>
  </si>
  <si>
    <t>Prosinec 2014</t>
  </si>
  <si>
    <t>Leden 2015</t>
  </si>
  <si>
    <t>Únor 2015</t>
  </si>
  <si>
    <t>Březen 2015</t>
  </si>
  <si>
    <t xml:space="preserve">   MSD *</t>
  </si>
  <si>
    <t>Koeficienty pro výpočet BSD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</si>
  <si>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</si>
  <si>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</si>
  <si>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</si>
  <si>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</si>
  <si>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</si>
  <si>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</si>
  <si>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</si>
  <si>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</si>
  <si>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</si>
  <si>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</si>
  <si>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</si>
  <si>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</si>
  <si>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</si>
  <si>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</si>
  <si>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</si>
  <si>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</si>
  <si>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</si>
  <si>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</si>
  <si>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</si>
  <si>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</si>
  <si>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</si>
  <si>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</si>
  <si>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r>
      <t>* BSD a MSD udáván obchodníky s plynem v MWh, na 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přepočteno na zákládě průměrného spalného tepla v ČR</t>
    </r>
  </si>
  <si>
    <r>
      <t>kWh/m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.</t>
    </r>
  </si>
  <si>
    <t>Zdroj (koeficienty): OTE, a.s.</t>
  </si>
  <si>
    <t>Tabulka č. 15</t>
  </si>
  <si>
    <t>Licence na obchod s plynem a výrobu plynu</t>
  </si>
  <si>
    <t>počet subjektů</t>
  </si>
  <si>
    <t>BSD ANO</t>
  </si>
  <si>
    <t>Počet licencovaných subjektů zajišťující BSD</t>
  </si>
  <si>
    <t>BSD NE</t>
  </si>
  <si>
    <t>Počet licencovaných subjektů, na které se povinnost zajistit BSD nevztahuje</t>
  </si>
  <si>
    <t>Počet všech licencovaných subjektů</t>
  </si>
  <si>
    <t>počet 
subjektů</t>
  </si>
  <si>
    <t>počet 
zajištění</t>
  </si>
  <si>
    <t>Zajištění BSD (§ 73a zákona č. 458/2000 Sb., v platném znění) *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</si>
  <si>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</si>
  <si>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</si>
  <si>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</si>
  <si>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</si>
  <si>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</si>
  <si>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</si>
  <si>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</si>
  <si>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BSD pro své chráněné zákazníky (současně je sám CHZ jiného obchodníka s plynem) zajišťuje</t>
  </si>
  <si>
    <t>počet
 subjektů</t>
  </si>
  <si>
    <t>počet
zajištění</t>
  </si>
  <si>
    <t>Prokazování BSD (vyhláška č. 344/2012 Sb. §11 odstavec 4) *</t>
  </si>
  <si>
    <t>a)</t>
  </si>
  <si>
    <t>zásobník plynu na území České republiky</t>
  </si>
  <si>
    <t>b)</t>
  </si>
  <si>
    <t>zásobník plynu mimo území České republiky</t>
  </si>
  <si>
    <t>c)</t>
  </si>
  <si>
    <t>kopie nákupního kontraktu, nebo potvrzení od zahraničního dodavatele</t>
  </si>
  <si>
    <t>d)</t>
  </si>
  <si>
    <t>kopie smlouvy, nebo potvrzení od příslušného výrobce plynu</t>
  </si>
  <si>
    <t>e)</t>
  </si>
  <si>
    <t>možnost využití alternativních paliv</t>
  </si>
  <si>
    <t>f)</t>
  </si>
  <si>
    <t>zajištění jiným účastníkem trhu s plynem</t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</si>
  <si>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</si>
  <si>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</si>
  <si>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</si>
  <si>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str. 19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</si>
  <si>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</si>
  <si>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</si>
  <si>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</si>
  <si>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</si>
  <si>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</si>
  <si>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</si>
  <si>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</si>
  <si>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</si>
  <si>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</si>
  <si>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</si>
  <si>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</si>
  <si>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</si>
  <si>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</si>
  <si>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</si>
  <si>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</si>
  <si>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</si>
  <si>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</si>
  <si>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</si>
  <si>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</si>
  <si>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</si>
  <si>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</si>
  <si>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</si>
  <si>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</si>
  <si>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</si>
  <si>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</si>
  <si>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str. 20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</si>
  <si>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</si>
  <si>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</si>
  <si>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</si>
  <si>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</si>
  <si>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</si>
  <si>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</si>
  <si>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 xml:space="preserve">Počet obchodníků zajišťujících BSD a způsob jeho prokazování v ČR </t>
  </si>
  <si>
    <t>Bezpečnostní standard dodávky plynu v ČR</t>
  </si>
  <si>
    <t xml:space="preserve">             Bezpečnostní standard dodávky plynu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</si>
  <si>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</si>
  <si>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</si>
  <si>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</si>
  <si>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</si>
  <si>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</si>
  <si>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</si>
  <si>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Typové diagramy dodávek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</si>
  <si>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</si>
  <si>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</si>
  <si>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</si>
  <si>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</si>
  <si>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</si>
  <si>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str. 21</t>
  </si>
  <si>
    <t>m+1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</si>
</sst>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  <numFmt numFmtId="171" formatCode="dddd"/>
  </numFmts>
  <fonts count="6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b/>
      <sz val="24"/>
      <color rgb="FFFF0000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sz val="8"/>
      <color theme="0" tint="-0.249977111117893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133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3" fontId="4" fillId="3" borderId="0" xfId="2" applyNumberFormat="1" applyFont="1" applyFill="1" applyBorder="1" applyAlignment="1">
      <alignment horizontal="right"/>
    </xf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3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3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6" fillId="3" borderId="41" xfId="2" applyNumberFormat="1" applyFont="1" applyFill="1" applyBorder="1" applyAlignment="1">
      <alignment vertical="center" wrapText="1"/>
    </xf>
    <xf numFmtId="1" fontId="36" fillId="3" borderId="42" xfId="2" applyNumberFormat="1" applyFont="1" applyFill="1" applyBorder="1" applyAlignment="1">
      <alignment vertical="center" wrapText="1"/>
    </xf>
    <xf numFmtId="1" fontId="36" fillId="3" borderId="43" xfId="2" applyNumberFormat="1" applyFont="1" applyFill="1" applyBorder="1" applyAlignment="1">
      <alignment vertical="center" wrapText="1"/>
    </xf>
    <xf numFmtId="1" fontId="36" fillId="3" borderId="44" xfId="2" applyNumberFormat="1" applyFont="1" applyFill="1" applyBorder="1" applyAlignment="1">
      <alignment vertical="center" wrapText="1"/>
    </xf>
    <xf numFmtId="1" fontId="36" fillId="3" borderId="45" xfId="2" applyNumberFormat="1" applyFont="1" applyFill="1" applyBorder="1" applyAlignment="1">
      <alignment vertical="center" wrapText="1"/>
    </xf>
    <xf numFmtId="1" fontId="36" fillId="3" borderId="46" xfId="2" applyNumberFormat="1" applyFont="1" applyFill="1" applyBorder="1" applyAlignment="1">
      <alignment vertical="center" wrapText="1"/>
    </xf>
    <xf numFmtId="1" fontId="36" fillId="3" borderId="47" xfId="2" applyNumberFormat="1" applyFont="1" applyFill="1" applyBorder="1" applyAlignment="1">
      <alignment vertical="center" wrapText="1"/>
    </xf>
    <xf numFmtId="1" fontId="36" fillId="3" borderId="48" xfId="2" applyNumberFormat="1" applyFont="1" applyFill="1" applyBorder="1" applyAlignment="1">
      <alignment vertical="center" wrapText="1"/>
    </xf>
    <xf numFmtId="1" fontId="36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6" fillId="3" borderId="0" xfId="2" applyNumberFormat="1" applyFont="1" applyFill="1" applyBorder="1" applyAlignment="1">
      <alignment vertical="center" wrapText="1"/>
    </xf>
    <xf numFmtId="1" fontId="36" fillId="3" borderId="51" xfId="2" applyNumberFormat="1" applyFont="1" applyFill="1" applyBorder="1" applyAlignment="1">
      <alignment vertical="center" wrapText="1"/>
    </xf>
    <xf numFmtId="1" fontId="36" fillId="3" borderId="50" xfId="2" applyNumberFormat="1" applyFont="1" applyFill="1" applyBorder="1" applyAlignment="1">
      <alignment vertical="center" wrapText="1"/>
    </xf>
    <xf numFmtId="1" fontId="36" fillId="3" borderId="52" xfId="2" applyNumberFormat="1" applyFont="1" applyFill="1" applyBorder="1" applyAlignment="1">
      <alignment vertical="center" wrapText="1"/>
    </xf>
    <xf numFmtId="1" fontId="36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6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6" fillId="9" borderId="45" xfId="2" applyNumberFormat="1" applyFont="1" applyFill="1" applyBorder="1" applyAlignment="1">
      <alignment vertical="center" wrapText="1"/>
    </xf>
    <xf numFmtId="1" fontId="36" fillId="12" borderId="45" xfId="2" applyNumberFormat="1" applyFont="1" applyFill="1" applyBorder="1" applyAlignment="1">
      <alignment vertical="center" wrapText="1"/>
    </xf>
    <xf numFmtId="1" fontId="40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6" fillId="3" borderId="55" xfId="2" applyNumberFormat="1" applyFont="1" applyFill="1" applyBorder="1" applyAlignment="1">
      <alignment vertical="center" wrapText="1"/>
    </xf>
    <xf numFmtId="1" fontId="36" fillId="10" borderId="45" xfId="2" applyNumberFormat="1" applyFont="1" applyFill="1" applyBorder="1" applyAlignment="1">
      <alignment vertical="center" wrapText="1"/>
    </xf>
    <xf numFmtId="1" fontId="36" fillId="11" borderId="45" xfId="2" applyNumberFormat="1" applyFont="1" applyFill="1" applyBorder="1" applyAlignment="1">
      <alignment vertical="center" wrapText="1"/>
    </xf>
    <xf numFmtId="1" fontId="37" fillId="2" borderId="0" xfId="2" applyNumberFormat="1" applyFont="1" applyFill="1" applyAlignment="1">
      <alignment horizontal="left" vertical="top"/>
    </xf>
    <xf numFmtId="1" fontId="37" fillId="2" borderId="0" xfId="2" applyNumberFormat="1" applyFont="1" applyFill="1" applyAlignment="1">
      <alignment horizontal="right" vertical="top"/>
    </xf>
    <xf numFmtId="1" fontId="37" fillId="2" borderId="0" xfId="0" applyNumberFormat="1" applyFont="1" applyFill="1" applyAlignment="1">
      <alignment horizontal="left" vertical="center" wrapText="1"/>
    </xf>
    <xf numFmtId="0" fontId="38" fillId="3" borderId="0" xfId="0" applyFont="1" applyFill="1" applyBorder="1"/>
    <xf numFmtId="0" fontId="43" fillId="3" borderId="0" xfId="0" applyFont="1" applyFill="1" applyBorder="1"/>
    <xf numFmtId="0" fontId="41" fillId="3" borderId="0" xfId="0" applyFont="1" applyFill="1" applyBorder="1" applyAlignment="1">
      <alignment horizontal="left" vertical="center"/>
    </xf>
    <xf numFmtId="0" fontId="41" fillId="3" borderId="0" xfId="0" applyFont="1" applyFill="1" applyBorder="1" applyAlignment="1">
      <alignment horizontal="left" vertical="top"/>
    </xf>
    <xf numFmtId="0" fontId="44" fillId="3" borderId="0" xfId="0" applyFont="1" applyFill="1" applyBorder="1" applyAlignment="1">
      <alignment vertical="top"/>
    </xf>
    <xf numFmtId="0" fontId="14" fillId="2" borderId="0" xfId="0" applyFont="1" applyFill="1" applyBorder="1"/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8" fillId="2" borderId="61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5" fillId="2" borderId="63" xfId="0" applyFont="1" applyFill="1" applyBorder="1" applyAlignment="1">
      <alignment horizontal="center" vertical="center" wrapText="1"/>
    </xf>
    <xf numFmtId="164" fontId="45" fillId="2" borderId="61" xfId="1" applyNumberFormat="1" applyFont="1" applyFill="1" applyBorder="1" applyAlignment="1">
      <alignment horizontal="right" vertical="center"/>
    </xf>
    <xf numFmtId="164" fontId="45" fillId="12" borderId="61" xfId="1" applyNumberFormat="1" applyFont="1" applyFill="1" applyBorder="1" applyAlignment="1">
      <alignment horizontal="right" vertical="center"/>
    </xf>
    <xf numFmtId="164" fontId="45" fillId="9" borderId="61" xfId="1" applyNumberFormat="1" applyFont="1" applyFill="1" applyBorder="1" applyAlignment="1">
      <alignment horizontal="right" vertical="center"/>
    </xf>
    <xf numFmtId="0" fontId="46" fillId="3" borderId="62" xfId="0" applyFont="1" applyFill="1" applyBorder="1" applyAlignment="1">
      <alignment vertical="center"/>
    </xf>
    <xf numFmtId="0" fontId="46" fillId="3" borderId="61" xfId="0" applyFont="1" applyFill="1" applyBorder="1" applyAlignment="1">
      <alignment vertical="center"/>
    </xf>
    <xf numFmtId="164" fontId="45" fillId="2" borderId="61" xfId="1" applyNumberFormat="1" applyFont="1" applyFill="1" applyBorder="1" applyAlignment="1">
      <alignment vertical="center"/>
    </xf>
    <xf numFmtId="164" fontId="45" fillId="12" borderId="61" xfId="1" applyNumberFormat="1" applyFont="1" applyFill="1" applyBorder="1" applyAlignment="1">
      <alignment vertical="center"/>
    </xf>
    <xf numFmtId="164" fontId="45" fillId="3" borderId="61" xfId="1" applyNumberFormat="1" applyFont="1" applyFill="1" applyBorder="1" applyAlignment="1">
      <alignment vertical="center"/>
    </xf>
    <xf numFmtId="164" fontId="45" fillId="9" borderId="61" xfId="1" applyNumberFormat="1" applyFont="1" applyFill="1" applyBorder="1" applyAlignment="1">
      <alignment vertical="center"/>
    </xf>
    <xf numFmtId="0" fontId="46" fillId="3" borderId="63" xfId="0" applyFont="1" applyFill="1" applyBorder="1" applyAlignment="1">
      <alignment vertical="center"/>
    </xf>
    <xf numFmtId="164" fontId="45" fillId="3" borderId="61" xfId="1" applyNumberFormat="1" applyFont="1" applyFill="1" applyBorder="1" applyAlignment="1">
      <alignment horizontal="right" vertical="center"/>
    </xf>
    <xf numFmtId="0" fontId="45" fillId="2" borderId="61" xfId="0" applyFont="1" applyFill="1" applyBorder="1" applyAlignment="1">
      <alignment horizontal="right" vertical="center" wrapText="1"/>
    </xf>
    <xf numFmtId="0" fontId="45" fillId="2" borderId="63" xfId="0" applyFont="1" applyFill="1" applyBorder="1" applyAlignment="1">
      <alignment horizontal="right" vertical="center" wrapText="1"/>
    </xf>
    <xf numFmtId="0" fontId="46" fillId="2" borderId="62" xfId="0" applyFont="1" applyFill="1" applyBorder="1" applyAlignment="1">
      <alignment horizontal="right" vertical="center"/>
    </xf>
    <xf numFmtId="0" fontId="38" fillId="2" borderId="0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vertical="center" wrapText="1"/>
    </xf>
    <xf numFmtId="164" fontId="4" fillId="2" borderId="64" xfId="1" applyNumberFormat="1" applyFont="1" applyFill="1" applyBorder="1" applyAlignment="1">
      <alignment horizontal="right" vertical="center"/>
    </xf>
    <xf numFmtId="164" fontId="4" fillId="12" borderId="64" xfId="1" applyNumberFormat="1" applyFont="1" applyFill="1" applyBorder="1" applyAlignment="1">
      <alignment horizontal="right" vertical="center"/>
    </xf>
    <xf numFmtId="164" fontId="4" fillId="9" borderId="64" xfId="1" applyNumberFormat="1" applyFont="1" applyFill="1" applyBorder="1" applyAlignment="1">
      <alignment horizontal="right" vertical="center"/>
    </xf>
    <xf numFmtId="0" fontId="3" fillId="3" borderId="65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12" borderId="64" xfId="1" applyNumberFormat="1" applyFont="1" applyFill="1" applyBorder="1" applyAlignment="1">
      <alignment vertical="center"/>
    </xf>
    <xf numFmtId="164" fontId="4" fillId="9" borderId="64" xfId="1" applyNumberFormat="1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164" fontId="4" fillId="3" borderId="64" xfId="1" applyNumberFormat="1" applyFont="1" applyFill="1" applyBorder="1" applyAlignment="1">
      <alignment horizontal="right" vertical="center"/>
    </xf>
    <xf numFmtId="3" fontId="4" fillId="3" borderId="64" xfId="0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vertical="center" wrapText="1"/>
    </xf>
    <xf numFmtId="164" fontId="4" fillId="2" borderId="67" xfId="1" applyNumberFormat="1" applyFont="1" applyFill="1" applyBorder="1" applyAlignment="1">
      <alignment horizontal="right" vertical="center"/>
    </xf>
    <xf numFmtId="164" fontId="4" fillId="12" borderId="67" xfId="1" applyNumberFormat="1" applyFont="1" applyFill="1" applyBorder="1" applyAlignment="1">
      <alignment horizontal="right" vertical="center"/>
    </xf>
    <xf numFmtId="164" fontId="4" fillId="9" borderId="67" xfId="1" applyNumberFormat="1" applyFont="1" applyFill="1" applyBorder="1" applyAlignment="1">
      <alignment horizontal="right" vertical="center"/>
    </xf>
    <xf numFmtId="0" fontId="3" fillId="3" borderId="68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4" fillId="2" borderId="69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 wrapText="1"/>
    </xf>
    <xf numFmtId="164" fontId="4" fillId="3" borderId="67" xfId="1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horizontal="right" vertical="center"/>
    </xf>
    <xf numFmtId="0" fontId="45" fillId="2" borderId="6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" fontId="3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5" xfId="1" applyNumberFormat="1" applyFont="1" applyFill="1" applyBorder="1" applyAlignment="1">
      <alignment horizontal="right" vertical="center"/>
    </xf>
    <xf numFmtId="164" fontId="45" fillId="2" borderId="62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5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5" fillId="3" borderId="0" xfId="1" applyNumberFormat="1" applyFont="1" applyFill="1" applyBorder="1" applyAlignment="1">
      <alignment vertical="center"/>
    </xf>
    <xf numFmtId="0" fontId="46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5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5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vertical="center" wrapText="1"/>
    </xf>
    <xf numFmtId="164" fontId="4" fillId="2" borderId="71" xfId="1" applyNumberFormat="1" applyFont="1" applyFill="1" applyBorder="1" applyAlignment="1">
      <alignment horizontal="right" vertical="center"/>
    </xf>
    <xf numFmtId="0" fontId="3" fillId="3" borderId="7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5" fillId="2" borderId="73" xfId="1" applyNumberFormat="1" applyFont="1" applyFill="1" applyBorder="1" applyAlignment="1">
      <alignment horizontal="right" vertical="center"/>
    </xf>
    <xf numFmtId="0" fontId="46" fillId="3" borderId="72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70" xfId="1" applyNumberFormat="1" applyFont="1" applyFill="1" applyBorder="1" applyAlignment="1">
      <alignment horizontal="right" vertical="center"/>
    </xf>
    <xf numFmtId="166" fontId="45" fillId="2" borderId="72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70" xfId="1" applyNumberFormat="1" applyFont="1" applyFill="1" applyBorder="1" applyAlignment="1">
      <alignment horizontal="right" vertical="center"/>
    </xf>
    <xf numFmtId="166" fontId="45" fillId="9" borderId="72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5" fillId="2" borderId="7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vertical="center" wrapText="1"/>
    </xf>
    <xf numFmtId="166" fontId="4" fillId="2" borderId="74" xfId="0" applyNumberFormat="1" applyFont="1" applyFill="1" applyBorder="1" applyAlignment="1">
      <alignment horizontal="right" vertical="center"/>
    </xf>
    <xf numFmtId="166" fontId="4" fillId="9" borderId="74" xfId="0" applyNumberFormat="1" applyFont="1" applyFill="1" applyBorder="1" applyAlignment="1">
      <alignment horizontal="right" vertical="center"/>
    </xf>
    <xf numFmtId="3" fontId="4" fillId="2" borderId="75" xfId="0" applyNumberFormat="1" applyFont="1" applyFill="1" applyBorder="1" applyAlignment="1">
      <alignment horizontal="right" vertical="center"/>
    </xf>
    <xf numFmtId="0" fontId="3" fillId="3" borderId="74" xfId="0" applyFont="1" applyFill="1" applyBorder="1" applyAlignment="1">
      <alignment vertical="center"/>
    </xf>
    <xf numFmtId="0" fontId="4" fillId="2" borderId="76" xfId="0" applyFont="1" applyFill="1" applyBorder="1" applyAlignment="1">
      <alignment horizontal="center" wrapText="1"/>
    </xf>
    <xf numFmtId="0" fontId="4" fillId="2" borderId="77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vertical="center" wrapText="1"/>
    </xf>
    <xf numFmtId="166" fontId="4" fillId="2" borderId="76" xfId="0" applyNumberFormat="1" applyFont="1" applyFill="1" applyBorder="1" applyAlignment="1">
      <alignment horizontal="right" vertical="center"/>
    </xf>
    <xf numFmtId="166" fontId="4" fillId="9" borderId="76" xfId="0" applyNumberFormat="1" applyFont="1" applyFill="1" applyBorder="1" applyAlignment="1">
      <alignment horizontal="right" vertical="center"/>
    </xf>
    <xf numFmtId="3" fontId="4" fillId="2" borderId="77" xfId="0" applyNumberFormat="1" applyFont="1" applyFill="1" applyBorder="1" applyAlignment="1">
      <alignment horizontal="right" vertical="center"/>
    </xf>
    <xf numFmtId="3" fontId="4" fillId="3" borderId="76" xfId="0" applyNumberFormat="1" applyFont="1" applyFill="1" applyBorder="1" applyAlignment="1">
      <alignment vertical="center"/>
    </xf>
    <xf numFmtId="0" fontId="4" fillId="2" borderId="70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4" xfId="1" applyNumberFormat="1" applyFont="1" applyFill="1" applyBorder="1" applyAlignment="1">
      <alignment horizontal="right" vertical="center"/>
    </xf>
    <xf numFmtId="164" fontId="4" fillId="11" borderId="67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8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vertical="center"/>
    </xf>
    <xf numFmtId="166" fontId="45" fillId="2" borderId="61" xfId="1" applyNumberFormat="1" applyFont="1" applyFill="1" applyBorder="1" applyAlignment="1">
      <alignment horizontal="right" vertical="center"/>
    </xf>
    <xf numFmtId="166" fontId="45" fillId="9" borderId="61" xfId="1" applyNumberFormat="1" applyFont="1" applyFill="1" applyBorder="1" applyAlignment="1">
      <alignment horizontal="right" vertical="center"/>
    </xf>
    <xf numFmtId="166" fontId="4" fillId="2" borderId="67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6" fontId="4" fillId="9" borderId="67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8" xfId="2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horizontal="right" vertical="center" wrapText="1"/>
    </xf>
    <xf numFmtId="3" fontId="4" fillId="3" borderId="78" xfId="2" applyNumberFormat="1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vertical="center"/>
    </xf>
    <xf numFmtId="3" fontId="4" fillId="3" borderId="78" xfId="2" applyNumberFormat="1" applyFont="1" applyFill="1" applyBorder="1" applyAlignment="1">
      <alignment horizontal="center" vertical="center"/>
    </xf>
    <xf numFmtId="3" fontId="4" fillId="3" borderId="79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9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80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80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80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80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right"/>
    </xf>
    <xf numFmtId="0" fontId="4" fillId="2" borderId="0" xfId="2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3" xfId="2" applyFont="1" applyFill="1" applyBorder="1"/>
    <xf numFmtId="0" fontId="3" fillId="2" borderId="82" xfId="2" applyFont="1" applyFill="1" applyBorder="1" applyAlignment="1">
      <alignment horizontal="right"/>
    </xf>
    <xf numFmtId="0" fontId="3" fillId="2" borderId="84" xfId="2" applyFont="1" applyFill="1" applyBorder="1"/>
    <xf numFmtId="0" fontId="3" fillId="2" borderId="82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5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" fillId="2" borderId="86" xfId="0" applyFont="1" applyFill="1" applyBorder="1" applyAlignment="1">
      <alignment horizontal="right" vertical="center"/>
    </xf>
    <xf numFmtId="0" fontId="41" fillId="3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right" vertical="center"/>
    </xf>
    <xf numFmtId="0" fontId="41" fillId="3" borderId="89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right" vertical="center"/>
    </xf>
    <xf numFmtId="0" fontId="18" fillId="2" borderId="70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right" vertical="center" wrapText="1"/>
    </xf>
    <xf numFmtId="0" fontId="4" fillId="2" borderId="9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1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3" fillId="3" borderId="0" xfId="2" applyFill="1"/>
    <xf numFmtId="0" fontId="7" fillId="3" borderId="0" xfId="2" applyFont="1" applyFill="1" applyAlignment="1">
      <alignment horizontal="center"/>
    </xf>
    <xf numFmtId="0" fontId="7" fillId="3" borderId="0" xfId="2" applyFont="1" applyFill="1" applyAlignment="1"/>
    <xf numFmtId="0" fontId="3" fillId="3" borderId="0" xfId="2" applyFill="1" applyBorder="1"/>
    <xf numFmtId="0" fontId="3" fillId="3" borderId="0" xfId="2" applyFill="1" applyAlignment="1">
      <alignment vertical="center"/>
    </xf>
    <xf numFmtId="0" fontId="4" fillId="3" borderId="36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right"/>
    </xf>
    <xf numFmtId="3" fontId="4" fillId="3" borderId="20" xfId="2" applyNumberFormat="1" applyFont="1" applyFill="1" applyBorder="1" applyAlignment="1">
      <alignment horizontal="right"/>
    </xf>
    <xf numFmtId="3" fontId="4" fillId="3" borderId="2" xfId="2" applyNumberFormat="1" applyFont="1" applyFill="1" applyBorder="1" applyAlignment="1">
      <alignment horizontal="right"/>
    </xf>
    <xf numFmtId="3" fontId="4" fillId="3" borderId="26" xfId="2" applyNumberFormat="1" applyFont="1" applyFill="1" applyBorder="1" applyAlignment="1">
      <alignment horizontal="right"/>
    </xf>
    <xf numFmtId="3" fontId="4" fillId="3" borderId="4" xfId="2" applyNumberFormat="1" applyFont="1" applyFill="1" applyBorder="1" applyAlignment="1">
      <alignment horizontal="right"/>
    </xf>
    <xf numFmtId="3" fontId="4" fillId="3" borderId="16" xfId="2" applyNumberFormat="1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right"/>
    </xf>
    <xf numFmtId="3" fontId="4" fillId="3" borderId="16" xfId="2" applyNumberFormat="1" applyFont="1" applyFill="1" applyBorder="1" applyAlignment="1">
      <alignment horizontal="center"/>
    </xf>
    <xf numFmtId="0" fontId="4" fillId="3" borderId="94" xfId="2" applyFont="1" applyFill="1" applyBorder="1" applyAlignment="1">
      <alignment horizontal="right"/>
    </xf>
    <xf numFmtId="3" fontId="4" fillId="3" borderId="95" xfId="2" applyNumberFormat="1" applyFont="1" applyFill="1" applyBorder="1" applyAlignment="1">
      <alignment horizontal="center"/>
    </xf>
    <xf numFmtId="164" fontId="3" fillId="3" borderId="0" xfId="1" applyNumberFormat="1" applyFill="1" applyAlignment="1">
      <alignment vertical="center"/>
    </xf>
    <xf numFmtId="0" fontId="4" fillId="3" borderId="98" xfId="2" applyFont="1" applyFill="1" applyBorder="1" applyAlignment="1">
      <alignment horizontal="right"/>
    </xf>
    <xf numFmtId="3" fontId="4" fillId="3" borderId="99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 vertical="center" wrapText="1"/>
    </xf>
    <xf numFmtId="3" fontId="4" fillId="3" borderId="23" xfId="2" applyNumberFormat="1" applyFont="1" applyFill="1" applyBorder="1" applyAlignment="1">
      <alignment horizontal="center" vertical="center" wrapText="1"/>
    </xf>
    <xf numFmtId="3" fontId="4" fillId="3" borderId="102" xfId="2" applyNumberFormat="1" applyFont="1" applyFill="1" applyBorder="1" applyAlignment="1">
      <alignment horizontal="center" vertical="center" wrapText="1"/>
    </xf>
    <xf numFmtId="3" fontId="4" fillId="3" borderId="103" xfId="2" applyNumberFormat="1" applyFont="1" applyFill="1" applyBorder="1" applyAlignment="1">
      <alignment horizontal="center" vertical="center" wrapText="1"/>
    </xf>
    <xf numFmtId="3" fontId="4" fillId="3" borderId="20" xfId="2" applyNumberFormat="1" applyFont="1" applyFill="1" applyBorder="1" applyAlignment="1">
      <alignment horizontal="center"/>
    </xf>
    <xf numFmtId="3" fontId="4" fillId="3" borderId="2" xfId="2" applyNumberFormat="1" applyFont="1" applyFill="1" applyBorder="1" applyAlignment="1">
      <alignment horizontal="center"/>
    </xf>
    <xf numFmtId="3" fontId="4" fillId="3" borderId="26" xfId="2" applyNumberFormat="1" applyFont="1" applyFill="1" applyBorder="1" applyAlignment="1">
      <alignment horizontal="center"/>
    </xf>
    <xf numFmtId="166" fontId="4" fillId="3" borderId="16" xfId="2" applyNumberFormat="1" applyFont="1" applyFill="1" applyBorder="1" applyAlignment="1">
      <alignment horizontal="center"/>
    </xf>
    <xf numFmtId="166" fontId="4" fillId="3" borderId="13" xfId="2" applyNumberFormat="1" applyFont="1" applyFill="1" applyBorder="1" applyAlignment="1">
      <alignment horizontal="center"/>
    </xf>
    <xf numFmtId="166" fontId="4" fillId="3" borderId="39" xfId="2" applyNumberFormat="1" applyFont="1" applyFill="1" applyBorder="1" applyAlignment="1">
      <alignment horizontal="center"/>
    </xf>
    <xf numFmtId="166" fontId="4" fillId="3" borderId="10" xfId="2" applyNumberFormat="1" applyFont="1" applyFill="1" applyBorder="1" applyAlignment="1">
      <alignment horizontal="center"/>
    </xf>
    <xf numFmtId="166" fontId="4" fillId="3" borderId="20" xfId="2" applyNumberFormat="1" applyFont="1" applyFill="1" applyBorder="1" applyAlignment="1">
      <alignment horizontal="center"/>
    </xf>
    <xf numFmtId="166" fontId="4" fillId="3" borderId="2" xfId="2" applyNumberFormat="1" applyFont="1" applyFill="1" applyBorder="1" applyAlignment="1">
      <alignment horizontal="center"/>
    </xf>
    <xf numFmtId="166" fontId="4" fillId="3" borderId="26" xfId="2" applyNumberFormat="1" applyFont="1" applyFill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horizontal="center"/>
    </xf>
    <xf numFmtId="0" fontId="4" fillId="3" borderId="5" xfId="2" applyFont="1" applyFill="1" applyBorder="1" applyAlignment="1">
      <alignment horizontal="right"/>
    </xf>
    <xf numFmtId="3" fontId="4" fillId="3" borderId="28" xfId="2" applyNumberFormat="1" applyFont="1" applyFill="1" applyBorder="1" applyAlignment="1">
      <alignment horizontal="center"/>
    </xf>
    <xf numFmtId="3" fontId="4" fillId="3" borderId="14" xfId="2" applyNumberFormat="1" applyFont="1" applyFill="1" applyBorder="1" applyAlignment="1">
      <alignment horizontal="center"/>
    </xf>
    <xf numFmtId="3" fontId="4" fillId="3" borderId="104" xfId="2" applyNumberFormat="1" applyFont="1" applyFill="1" applyBorder="1" applyAlignment="1">
      <alignment horizontal="center"/>
    </xf>
    <xf numFmtId="3" fontId="4" fillId="3" borderId="7" xfId="2" applyNumberFormat="1" applyFont="1" applyFill="1" applyBorder="1" applyAlignment="1">
      <alignment horizontal="center"/>
    </xf>
    <xf numFmtId="14" fontId="4" fillId="3" borderId="16" xfId="2" applyNumberFormat="1" applyFont="1" applyFill="1" applyBorder="1" applyAlignment="1">
      <alignment horizontal="center"/>
    </xf>
    <xf numFmtId="49" fontId="4" fillId="3" borderId="13" xfId="2" applyNumberFormat="1" applyFont="1" applyFill="1" applyBorder="1" applyAlignment="1">
      <alignment horizontal="center"/>
    </xf>
    <xf numFmtId="49" fontId="4" fillId="3" borderId="10" xfId="2" applyNumberFormat="1" applyFont="1" applyFill="1" applyBorder="1" applyAlignment="1">
      <alignment horizontal="center"/>
    </xf>
    <xf numFmtId="0" fontId="11" fillId="3" borderId="0" xfId="2" applyFont="1" applyFill="1" applyBorder="1" applyAlignment="1"/>
    <xf numFmtId="164" fontId="4" fillId="3" borderId="0" xfId="1" applyNumberFormat="1" applyFont="1" applyFill="1" applyBorder="1" applyAlignment="1">
      <alignment horizontal="right"/>
    </xf>
    <xf numFmtId="164" fontId="4" fillId="3" borderId="0" xfId="1" applyNumberFormat="1" applyFont="1" applyFill="1"/>
    <xf numFmtId="9" fontId="4" fillId="3" borderId="0" xfId="1" applyFont="1" applyFill="1" applyBorder="1" applyAlignment="1"/>
    <xf numFmtId="1" fontId="4" fillId="3" borderId="0" xfId="2" applyNumberFormat="1" applyFont="1" applyFill="1" applyBorder="1" applyAlignment="1"/>
    <xf numFmtId="1" fontId="3" fillId="3" borderId="0" xfId="2" applyNumberFormat="1" applyFill="1"/>
    <xf numFmtId="0" fontId="4" fillId="3" borderId="0" xfId="0" applyFont="1" applyFill="1" applyAlignment="1"/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4" fillId="3" borderId="6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" fontId="4" fillId="3" borderId="20" xfId="0" applyNumberFormat="1" applyFont="1" applyFill="1" applyBorder="1" applyAlignment="1">
      <alignment horizontal="right" vertical="center"/>
    </xf>
    <xf numFmtId="3" fontId="4" fillId="3" borderId="14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 wrapText="1"/>
    </xf>
    <xf numFmtId="3" fontId="4" fillId="3" borderId="28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center" vertical="center"/>
    </xf>
    <xf numFmtId="17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70" fontId="4" fillId="3" borderId="14" xfId="0" applyNumberFormat="1" applyFont="1" applyFill="1" applyBorder="1" applyAlignment="1">
      <alignment horizontal="center" vertical="center"/>
    </xf>
    <xf numFmtId="170" fontId="4" fillId="3" borderId="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70" fontId="4" fillId="3" borderId="10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0" fontId="4" fillId="3" borderId="0" xfId="0" applyNumberFormat="1" applyFont="1" applyFill="1" applyAlignment="1">
      <alignment horizontal="center"/>
    </xf>
    <xf numFmtId="0" fontId="49" fillId="3" borderId="0" xfId="2" applyFont="1" applyFill="1" applyBorder="1" applyAlignment="1"/>
    <xf numFmtId="0" fontId="47" fillId="3" borderId="0" xfId="2" applyFont="1" applyFill="1" applyAlignment="1">
      <alignment horizontal="right" wrapText="1"/>
    </xf>
    <xf numFmtId="0" fontId="47" fillId="3" borderId="0" xfId="2" applyFont="1" applyFill="1" applyAlignment="1">
      <alignment horizontal="left" wrapText="1"/>
    </xf>
    <xf numFmtId="0" fontId="7" fillId="3" borderId="0" xfId="2" applyFont="1" applyFill="1" applyAlignment="1">
      <alignment horizontal="center" wrapText="1"/>
    </xf>
    <xf numFmtId="0" fontId="4" fillId="3" borderId="6" xfId="2" applyFont="1" applyFill="1" applyBorder="1" applyAlignment="1">
      <alignment horizontal="right"/>
    </xf>
    <xf numFmtId="0" fontId="47" fillId="3" borderId="4" xfId="2" applyFont="1" applyFill="1" applyBorder="1" applyAlignment="1">
      <alignment horizontal="right" wrapText="1"/>
    </xf>
    <xf numFmtId="0" fontId="4" fillId="3" borderId="0" xfId="2" applyFont="1" applyFill="1" applyAlignment="1">
      <alignment horizontal="right" wrapText="1"/>
    </xf>
    <xf numFmtId="9" fontId="4" fillId="3" borderId="0" xfId="1" applyFont="1" applyFill="1" applyAlignment="1">
      <alignment horizontal="left" wrapText="1"/>
    </xf>
    <xf numFmtId="9" fontId="4" fillId="3" borderId="0" xfId="2" applyNumberFormat="1" applyFont="1" applyFill="1" applyAlignment="1">
      <alignment horizontal="center" wrapText="1"/>
    </xf>
    <xf numFmtId="0" fontId="4" fillId="3" borderId="0" xfId="2" applyFont="1" applyFill="1" applyAlignment="1">
      <alignment horizontal="right"/>
    </xf>
    <xf numFmtId="9" fontId="4" fillId="3" borderId="0" xfId="1" applyNumberFormat="1" applyFont="1" applyFill="1" applyAlignment="1">
      <alignment horizontal="right" wrapText="1"/>
    </xf>
    <xf numFmtId="9" fontId="4" fillId="3" borderId="0" xfId="1" applyFont="1" applyFill="1" applyAlignment="1">
      <alignment horizontal="left"/>
    </xf>
    <xf numFmtId="9" fontId="4" fillId="3" borderId="0" xfId="2" applyNumberFormat="1" applyFont="1" applyFill="1" applyAlignment="1">
      <alignment horizontal="left" wrapText="1"/>
    </xf>
    <xf numFmtId="0" fontId="4" fillId="3" borderId="0" xfId="2" applyFont="1" applyFill="1" applyAlignment="1">
      <alignment horizontal="center" wrapText="1"/>
    </xf>
    <xf numFmtId="0" fontId="3" fillId="3" borderId="9" xfId="2" applyFill="1" applyBorder="1"/>
    <xf numFmtId="0" fontId="4" fillId="3" borderId="15" xfId="2" applyFont="1" applyFill="1" applyBorder="1" applyAlignment="1">
      <alignment horizontal="right"/>
    </xf>
    <xf numFmtId="0" fontId="4" fillId="3" borderId="6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3" borderId="106" xfId="2" applyFont="1" applyFill="1" applyBorder="1" applyAlignment="1">
      <alignment horizontal="right"/>
    </xf>
    <xf numFmtId="0" fontId="4" fillId="3" borderId="96" xfId="2" applyFont="1" applyFill="1" applyBorder="1" applyAlignment="1">
      <alignment horizontal="center"/>
    </xf>
    <xf numFmtId="0" fontId="3" fillId="3" borderId="9" xfId="2" applyFont="1" applyFill="1" applyBorder="1"/>
    <xf numFmtId="0" fontId="14" fillId="3" borderId="11" xfId="2" applyFont="1" applyFill="1" applyBorder="1" applyAlignment="1">
      <alignment horizontal="right"/>
    </xf>
    <xf numFmtId="0" fontId="14" fillId="3" borderId="13" xfId="2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0" fontId="3" fillId="3" borderId="14" xfId="2" applyFill="1" applyBorder="1"/>
    <xf numFmtId="0" fontId="3" fillId="3" borderId="7" xfId="2" applyFill="1" applyBorder="1" applyAlignment="1">
      <alignment horizontal="center"/>
    </xf>
    <xf numFmtId="0" fontId="3" fillId="3" borderId="0" xfId="2" applyFill="1" applyAlignment="1">
      <alignment horizontal="center"/>
    </xf>
    <xf numFmtId="0" fontId="4" fillId="3" borderId="0" xfId="2" applyFont="1" applyFill="1" applyAlignment="1">
      <alignment horizontal="left"/>
    </xf>
    <xf numFmtId="0" fontId="3" fillId="3" borderId="7" xfId="2" applyFill="1" applyBorder="1"/>
    <xf numFmtId="0" fontId="51" fillId="3" borderId="0" xfId="2" applyFont="1" applyFill="1"/>
    <xf numFmtId="0" fontId="51" fillId="3" borderId="0" xfId="2" applyFont="1" applyFill="1" applyAlignment="1">
      <alignment horizontal="left"/>
    </xf>
    <xf numFmtId="0" fontId="51" fillId="3" borderId="0" xfId="2" applyFont="1" applyFill="1" applyAlignment="1">
      <alignment horizontal="right"/>
    </xf>
    <xf numFmtId="0" fontId="4" fillId="9" borderId="6" xfId="2" applyFont="1" applyFill="1" applyBorder="1" applyAlignment="1">
      <alignment horizontal="right"/>
    </xf>
    <xf numFmtId="3" fontId="4" fillId="9" borderId="33" xfId="2" applyNumberFormat="1" applyFont="1" applyFill="1" applyBorder="1" applyAlignment="1">
      <alignment horizontal="center"/>
    </xf>
    <xf numFmtId="3" fontId="4" fillId="9" borderId="1" xfId="2" applyNumberFormat="1" applyFont="1" applyFill="1" applyBorder="1" applyAlignment="1">
      <alignment horizontal="center"/>
    </xf>
    <xf numFmtId="3" fontId="4" fillId="9" borderId="92" xfId="2" applyNumberFormat="1" applyFont="1" applyFill="1" applyBorder="1" applyAlignment="1">
      <alignment horizontal="center"/>
    </xf>
    <xf numFmtId="3" fontId="4" fillId="9" borderId="3" xfId="2" applyNumberFormat="1" applyFont="1" applyFill="1" applyBorder="1" applyAlignment="1">
      <alignment horizontal="center"/>
    </xf>
    <xf numFmtId="1" fontId="37" fillId="3" borderId="0" xfId="2" applyNumberFormat="1" applyFont="1" applyFill="1" applyAlignment="1">
      <alignment horizontal="right" wrapText="1"/>
    </xf>
    <xf numFmtId="1" fontId="37" fillId="3" borderId="0" xfId="2" applyNumberFormat="1" applyFont="1" applyFill="1" applyAlignment="1">
      <alignment horizontal="left" wrapText="1"/>
    </xf>
    <xf numFmtId="1" fontId="37" fillId="3" borderId="0" xfId="2" applyNumberFormat="1" applyFont="1" applyFill="1" applyAlignment="1">
      <alignment horizontal="right"/>
    </xf>
    <xf numFmtId="1" fontId="37" fillId="3" borderId="0" xfId="2" applyNumberFormat="1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1" fontId="4" fillId="2" borderId="11" xfId="0" applyNumberFormat="1" applyFont="1" applyFill="1" applyBorder="1" applyAlignment="1">
      <alignment horizontal="left"/>
    </xf>
    <xf numFmtId="0" fontId="51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52" fillId="2" borderId="0" xfId="2" applyNumberFormat="1" applyFont="1" applyFill="1" applyAlignment="1">
      <alignment horizontal="right"/>
    </xf>
    <xf numFmtId="0" fontId="53" fillId="3" borderId="0" xfId="0" applyFont="1" applyFill="1"/>
    <xf numFmtId="164" fontId="45" fillId="2" borderId="72" xfId="1" applyNumberFormat="1" applyFont="1" applyFill="1" applyBorder="1" applyAlignment="1">
      <alignment horizontal="right" vertical="center"/>
    </xf>
    <xf numFmtId="164" fontId="45" fillId="3" borderId="72" xfId="1" applyNumberFormat="1" applyFont="1" applyFill="1" applyBorder="1" applyAlignment="1">
      <alignment horizontal="right" vertical="center"/>
    </xf>
    <xf numFmtId="164" fontId="45" fillId="11" borderId="72" xfId="1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3" fontId="4" fillId="3" borderId="107" xfId="0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14" fillId="2" borderId="108" xfId="2" applyFont="1" applyFill="1" applyBorder="1" applyAlignment="1"/>
    <xf numFmtId="0" fontId="33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8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8" fillId="2" borderId="0" xfId="2" applyFont="1" applyFill="1" applyAlignment="1"/>
    <xf numFmtId="0" fontId="38" fillId="2" borderId="0" xfId="2" applyFont="1" applyFill="1" applyBorder="1" applyAlignment="1">
      <alignment wrapText="1"/>
    </xf>
    <xf numFmtId="0" fontId="38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109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8" fillId="3" borderId="0" xfId="2" applyNumberFormat="1" applyFont="1" applyFill="1" applyBorder="1" applyAlignment="1">
      <alignment vertical="center" wrapText="1"/>
    </xf>
    <xf numFmtId="166" fontId="38" fillId="3" borderId="0" xfId="2" applyNumberFormat="1" applyFont="1" applyFill="1" applyBorder="1" applyAlignment="1">
      <alignment horizontal="left" wrapText="1"/>
    </xf>
    <xf numFmtId="166" fontId="38" fillId="3" borderId="0" xfId="2" applyNumberFormat="1" applyFont="1" applyFill="1" applyBorder="1" applyAlignment="1">
      <alignment horizontal="center" wrapText="1"/>
    </xf>
    <xf numFmtId="0" fontId="54" fillId="14" borderId="0" xfId="2" applyFont="1" applyFill="1" applyAlignment="1">
      <alignment horizontal="left" vertical="center" wrapText="1"/>
    </xf>
    <xf numFmtId="0" fontId="54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8" fillId="2" borderId="0" xfId="2" applyFont="1" applyFill="1"/>
    <xf numFmtId="0" fontId="56" fillId="3" borderId="0" xfId="2" applyFont="1" applyFill="1" applyAlignment="1">
      <alignment vertical="center" wrapText="1"/>
    </xf>
    <xf numFmtId="0" fontId="56" fillId="2" borderId="0" xfId="2" applyFont="1" applyFill="1" applyAlignment="1">
      <alignment vertical="center" wrapText="1"/>
    </xf>
    <xf numFmtId="166" fontId="56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6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6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6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6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1" fillId="3" borderId="88" xfId="0" applyFont="1" applyFill="1" applyBorder="1" applyAlignment="1">
      <alignment horizontal="left" vertical="center"/>
    </xf>
    <xf numFmtId="0" fontId="4" fillId="3" borderId="112" xfId="2" applyFont="1" applyFill="1" applyBorder="1" applyAlignment="1">
      <alignment horizontal="right" vertical="center"/>
    </xf>
    <xf numFmtId="0" fontId="4" fillId="3" borderId="113" xfId="2" applyFont="1" applyFill="1" applyBorder="1" applyAlignment="1">
      <alignment horizontal="left" vertical="center" wrapText="1"/>
    </xf>
    <xf numFmtId="164" fontId="15" fillId="3" borderId="114" xfId="1" applyNumberFormat="1" applyFont="1" applyFill="1" applyBorder="1" applyAlignment="1">
      <alignment horizontal="right" vertical="center"/>
    </xf>
    <xf numFmtId="164" fontId="15" fillId="3" borderId="113" xfId="1" applyNumberFormat="1" applyFont="1" applyFill="1" applyBorder="1" applyAlignment="1">
      <alignment horizontal="right" vertical="center"/>
    </xf>
    <xf numFmtId="164" fontId="4" fillId="3" borderId="114" xfId="1" applyNumberFormat="1" applyFont="1" applyFill="1" applyBorder="1" applyAlignment="1">
      <alignment horizontal="right" vertical="center"/>
    </xf>
    <xf numFmtId="164" fontId="4" fillId="3" borderId="113" xfId="1" applyNumberFormat="1" applyFont="1" applyFill="1" applyBorder="1" applyAlignment="1">
      <alignment horizontal="right" vertical="center"/>
    </xf>
    <xf numFmtId="164" fontId="4" fillId="3" borderId="115" xfId="1" applyNumberFormat="1" applyFont="1" applyFill="1" applyBorder="1" applyAlignment="1">
      <alignment horizontal="right" vertical="center"/>
    </xf>
    <xf numFmtId="0" fontId="4" fillId="9" borderId="112" xfId="2" applyFont="1" applyFill="1" applyBorder="1" applyAlignment="1">
      <alignment horizontal="right" vertical="center" wrapText="1"/>
    </xf>
    <xf numFmtId="0" fontId="4" fillId="9" borderId="113" xfId="2" applyFont="1" applyFill="1" applyBorder="1" applyAlignment="1">
      <alignment horizontal="left" vertical="center"/>
    </xf>
    <xf numFmtId="166" fontId="15" fillId="9" borderId="114" xfId="2" applyNumberFormat="1" applyFont="1" applyFill="1" applyBorder="1" applyAlignment="1">
      <alignment horizontal="right" vertical="center"/>
    </xf>
    <xf numFmtId="166" fontId="15" fillId="9" borderId="113" xfId="2" applyNumberFormat="1" applyFont="1" applyFill="1" applyBorder="1" applyAlignment="1">
      <alignment horizontal="right" vertical="center"/>
    </xf>
    <xf numFmtId="166" fontId="4" fillId="9" borderId="114" xfId="2" applyNumberFormat="1" applyFont="1" applyFill="1" applyBorder="1" applyAlignment="1">
      <alignment horizontal="right" vertical="center"/>
    </xf>
    <xf numFmtId="166" fontId="4" fillId="9" borderId="113" xfId="2" applyNumberFormat="1" applyFont="1" applyFill="1" applyBorder="1" applyAlignment="1">
      <alignment horizontal="right" vertical="center"/>
    </xf>
    <xf numFmtId="166" fontId="4" fillId="9" borderId="115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112" xfId="2" applyFont="1" applyFill="1" applyBorder="1" applyAlignment="1">
      <alignment horizontal="right" vertical="center"/>
    </xf>
    <xf numFmtId="0" fontId="4" fillId="3" borderId="113" xfId="2" applyFont="1" applyFill="1" applyBorder="1" applyAlignment="1">
      <alignment horizontal="left" vertical="center"/>
    </xf>
    <xf numFmtId="166" fontId="15" fillId="3" borderId="114" xfId="2" applyNumberFormat="1" applyFont="1" applyFill="1" applyBorder="1" applyAlignment="1">
      <alignment horizontal="right" vertical="center"/>
    </xf>
    <xf numFmtId="166" fontId="15" fillId="3" borderId="113" xfId="2" applyNumberFormat="1" applyFont="1" applyFill="1" applyBorder="1" applyAlignment="1">
      <alignment horizontal="right" vertical="center"/>
    </xf>
    <xf numFmtId="166" fontId="4" fillId="3" borderId="114" xfId="2" applyNumberFormat="1" applyFont="1" applyFill="1" applyBorder="1" applyAlignment="1">
      <alignment horizontal="right" vertical="center"/>
    </xf>
    <xf numFmtId="166" fontId="4" fillId="3" borderId="113" xfId="2" applyNumberFormat="1" applyFont="1" applyFill="1" applyBorder="1" applyAlignment="1">
      <alignment horizontal="right" vertical="center"/>
    </xf>
    <xf numFmtId="166" fontId="4" fillId="3" borderId="115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1" xfId="2" applyFont="1" applyFill="1" applyBorder="1"/>
    <xf numFmtId="0" fontId="3" fillId="2" borderId="70" xfId="2" applyFont="1" applyFill="1" applyBorder="1"/>
    <xf numFmtId="0" fontId="3" fillId="2" borderId="116" xfId="2" applyFont="1" applyFill="1" applyBorder="1"/>
    <xf numFmtId="0" fontId="38" fillId="2" borderId="87" xfId="2" applyFont="1" applyFill="1" applyBorder="1" applyAlignment="1">
      <alignment horizontal="right"/>
    </xf>
    <xf numFmtId="166" fontId="38" fillId="3" borderId="117" xfId="2" applyNumberFormat="1" applyFont="1" applyFill="1" applyBorder="1" applyAlignment="1">
      <alignment horizontal="right" vertical="center"/>
    </xf>
    <xf numFmtId="0" fontId="38" fillId="2" borderId="89" xfId="2" applyFont="1" applyFill="1" applyBorder="1" applyAlignment="1">
      <alignment horizontal="right"/>
    </xf>
    <xf numFmtId="166" fontId="38" fillId="3" borderId="118" xfId="2" applyNumberFormat="1" applyFont="1" applyFill="1" applyBorder="1" applyAlignment="1">
      <alignment horizontal="right" vertical="center"/>
    </xf>
    <xf numFmtId="165" fontId="38" fillId="2" borderId="90" xfId="2" applyNumberFormat="1" applyFont="1" applyFill="1" applyBorder="1"/>
    <xf numFmtId="165" fontId="38" fillId="2" borderId="91" xfId="2" applyNumberFormat="1" applyFont="1" applyFill="1" applyBorder="1"/>
    <xf numFmtId="165" fontId="38" fillId="2" borderId="87" xfId="2" applyNumberFormat="1" applyFont="1" applyFill="1" applyBorder="1"/>
    <xf numFmtId="165" fontId="38" fillId="2" borderId="86" xfId="2" applyNumberFormat="1" applyFont="1" applyFill="1" applyBorder="1"/>
    <xf numFmtId="165" fontId="38" fillId="2" borderId="89" xfId="2" applyNumberFormat="1" applyFont="1" applyFill="1" applyBorder="1"/>
    <xf numFmtId="165" fontId="38" fillId="2" borderId="88" xfId="2" applyNumberFormat="1" applyFont="1" applyFill="1" applyBorder="1"/>
    <xf numFmtId="166" fontId="45" fillId="3" borderId="0" xfId="2" applyNumberFormat="1" applyFont="1" applyFill="1" applyBorder="1" applyAlignment="1">
      <alignment vertical="center" wrapText="1"/>
    </xf>
    <xf numFmtId="0" fontId="55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1" fillId="3" borderId="70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51" fillId="2" borderId="0" xfId="1" applyFont="1" applyFill="1"/>
    <xf numFmtId="166" fontId="59" fillId="3" borderId="0" xfId="2" applyNumberFormat="1" applyFont="1" applyFill="1" applyBorder="1" applyAlignment="1">
      <alignment horizontal="right" vertical="center"/>
    </xf>
    <xf numFmtId="166" fontId="17" fillId="3" borderId="0" xfId="2" applyNumberFormat="1" applyFont="1" applyFill="1" applyBorder="1" applyAlignment="1">
      <alignment horizontal="right" vertical="center"/>
    </xf>
    <xf numFmtId="166" fontId="59" fillId="3" borderId="9" xfId="2" applyNumberFormat="1" applyFont="1" applyFill="1" applyBorder="1" applyAlignment="1">
      <alignment horizontal="right" vertical="center"/>
    </xf>
    <xf numFmtId="166" fontId="60" fillId="3" borderId="9" xfId="2" applyNumberFormat="1" applyFont="1" applyFill="1" applyBorder="1" applyAlignment="1">
      <alignment horizontal="right" vertical="center"/>
    </xf>
    <xf numFmtId="166" fontId="60" fillId="3" borderId="0" xfId="2" applyNumberFormat="1" applyFont="1" applyFill="1" applyBorder="1" applyAlignment="1">
      <alignment horizontal="right" vertical="center"/>
    </xf>
    <xf numFmtId="1" fontId="40" fillId="13" borderId="45" xfId="2" applyNumberFormat="1" applyFont="1" applyFill="1" applyBorder="1" applyAlignment="1">
      <alignment horizontal="center" vertical="center" wrapText="1"/>
    </xf>
    <xf numFmtId="1" fontId="39" fillId="3" borderId="0" xfId="2" applyNumberFormat="1" applyFont="1" applyFill="1" applyBorder="1" applyAlignment="1">
      <alignment horizontal="center" vertical="center" wrapText="1"/>
    </xf>
    <xf numFmtId="1" fontId="39" fillId="3" borderId="47" xfId="2" applyNumberFormat="1" applyFont="1" applyFill="1" applyBorder="1" applyAlignment="1">
      <alignment horizontal="center" vertical="center" wrapText="1"/>
    </xf>
    <xf numFmtId="0" fontId="42" fillId="10" borderId="57" xfId="0" applyFont="1" applyFill="1" applyBorder="1" applyAlignment="1">
      <alignment horizontal="center" vertical="center"/>
    </xf>
    <xf numFmtId="0" fontId="42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26" fillId="10" borderId="6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3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33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center" wrapText="1"/>
    </xf>
    <xf numFmtId="0" fontId="45" fillId="2" borderId="61" xfId="0" applyFont="1" applyFill="1" applyBorder="1" applyAlignment="1">
      <alignment horizontal="center" wrapText="1"/>
    </xf>
    <xf numFmtId="0" fontId="45" fillId="2" borderId="6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5" fillId="2" borderId="36" xfId="0" applyFont="1" applyFill="1" applyBorder="1" applyAlignment="1">
      <alignment horizontal="center" wrapText="1"/>
    </xf>
    <xf numFmtId="0" fontId="45" fillId="2" borderId="7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3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7" fillId="2" borderId="0" xfId="0" applyNumberFormat="1" applyFont="1" applyFill="1" applyBorder="1" applyAlignment="1">
      <alignment horizontal="left"/>
    </xf>
    <xf numFmtId="0" fontId="37" fillId="2" borderId="0" xfId="0" applyFont="1" applyFill="1" applyBorder="1" applyAlignment="1">
      <alignment horizontal="left"/>
    </xf>
    <xf numFmtId="1" fontId="37" fillId="3" borderId="0" xfId="0" applyNumberFormat="1" applyFont="1" applyFill="1" applyBorder="1" applyAlignment="1">
      <alignment horizontal="right" wrapText="1"/>
    </xf>
    <xf numFmtId="0" fontId="37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7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38" fillId="2" borderId="87" xfId="2" applyFont="1" applyFill="1" applyBorder="1" applyAlignment="1">
      <alignment horizontal="right"/>
    </xf>
    <xf numFmtId="0" fontId="38" fillId="2" borderId="89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2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7" fillId="3" borderId="0" xfId="2" applyNumberFormat="1" applyFont="1" applyFill="1" applyBorder="1" applyAlignment="1">
      <alignment horizontal="center" wrapText="1"/>
    </xf>
    <xf numFmtId="0" fontId="37" fillId="3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35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left" wrapText="1"/>
    </xf>
    <xf numFmtId="0" fontId="4" fillId="3" borderId="3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7" fillId="3" borderId="0" xfId="2" applyFont="1" applyFill="1" applyAlignment="1">
      <alignment horizontal="center" wrapText="1"/>
    </xf>
    <xf numFmtId="0" fontId="4" fillId="3" borderId="10" xfId="2" applyFont="1" applyFill="1" applyBorder="1" applyAlignment="1">
      <alignment horizontal="center" wrapText="1"/>
    </xf>
    <xf numFmtId="0" fontId="4" fillId="3" borderId="12" xfId="2" applyFont="1" applyFill="1" applyBorder="1" applyAlignment="1">
      <alignment horizontal="center" wrapText="1"/>
    </xf>
    <xf numFmtId="0" fontId="4" fillId="3" borderId="11" xfId="2" applyFont="1" applyFill="1" applyBorder="1" applyAlignment="1">
      <alignment horizontal="center" wrapText="1"/>
    </xf>
    <xf numFmtId="0" fontId="4" fillId="3" borderId="4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/>
    </xf>
    <xf numFmtId="0" fontId="47" fillId="3" borderId="7" xfId="2" applyFont="1" applyFill="1" applyBorder="1" applyAlignment="1">
      <alignment horizontal="center" wrapText="1"/>
    </xf>
    <xf numFmtId="0" fontId="47" fillId="3" borderId="5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3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left"/>
    </xf>
    <xf numFmtId="0" fontId="4" fillId="3" borderId="15" xfId="2" applyFont="1" applyFill="1" applyBorder="1" applyAlignment="1">
      <alignment horizontal="left"/>
    </xf>
    <xf numFmtId="0" fontId="4" fillId="3" borderId="94" xfId="2" applyFont="1" applyFill="1" applyBorder="1" applyAlignment="1">
      <alignment horizontal="left"/>
    </xf>
    <xf numFmtId="0" fontId="4" fillId="3" borderId="106" xfId="2" applyFont="1" applyFill="1" applyBorder="1" applyAlignment="1">
      <alignment horizontal="left"/>
    </xf>
    <xf numFmtId="0" fontId="4" fillId="3" borderId="13" xfId="2" applyFont="1" applyFill="1" applyBorder="1" applyAlignment="1">
      <alignment horizontal="center"/>
    </xf>
    <xf numFmtId="0" fontId="50" fillId="3" borderId="0" xfId="2" applyFont="1" applyFill="1" applyAlignment="1">
      <alignment horizontal="center"/>
    </xf>
    <xf numFmtId="0" fontId="33" fillId="2" borderId="0" xfId="2" applyFont="1" applyFill="1" applyBorder="1" applyAlignment="1">
      <alignment horizontal="right"/>
    </xf>
    <xf numFmtId="0" fontId="7" fillId="3" borderId="0" xfId="2" applyFont="1" applyFill="1" applyAlignment="1">
      <alignment horizontal="center"/>
    </xf>
    <xf numFmtId="0" fontId="4" fillId="3" borderId="16" xfId="2" applyFont="1" applyFill="1" applyBorder="1" applyAlignment="1">
      <alignment horizontal="center"/>
    </xf>
    <xf numFmtId="0" fontId="4" fillId="3" borderId="39" xfId="2" applyFont="1" applyFill="1" applyBorder="1" applyAlignment="1">
      <alignment horizontal="center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9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3" fontId="4" fillId="3" borderId="3" xfId="2" applyNumberFormat="1" applyFont="1" applyFill="1" applyBorder="1" applyAlignment="1">
      <alignment horizontal="center"/>
    </xf>
    <xf numFmtId="3" fontId="4" fillId="3" borderId="93" xfId="2" applyNumberFormat="1" applyFont="1" applyFill="1" applyBorder="1" applyAlignment="1">
      <alignment horizontal="center"/>
    </xf>
    <xf numFmtId="3" fontId="4" fillId="3" borderId="6" xfId="2" applyNumberFormat="1" applyFont="1" applyFill="1" applyBorder="1" applyAlignment="1">
      <alignment horizontal="center"/>
    </xf>
    <xf numFmtId="3" fontId="4" fillId="3" borderId="96" xfId="2" applyNumberFormat="1" applyFont="1" applyFill="1" applyBorder="1" applyAlignment="1">
      <alignment horizontal="center"/>
    </xf>
    <xf numFmtId="3" fontId="4" fillId="3" borderId="97" xfId="2" applyNumberFormat="1" applyFont="1" applyFill="1" applyBorder="1" applyAlignment="1">
      <alignment horizontal="center"/>
    </xf>
    <xf numFmtId="3" fontId="4" fillId="3" borderId="94" xfId="2" applyNumberFormat="1" applyFont="1" applyFill="1" applyBorder="1" applyAlignment="1">
      <alignment horizontal="center"/>
    </xf>
    <xf numFmtId="49" fontId="4" fillId="3" borderId="0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3" fontId="4" fillId="3" borderId="100" xfId="2" applyNumberFormat="1" applyFont="1" applyFill="1" applyBorder="1" applyAlignment="1">
      <alignment horizontal="center"/>
    </xf>
    <xf numFmtId="3" fontId="4" fillId="3" borderId="101" xfId="2" applyNumberFormat="1" applyFont="1" applyFill="1" applyBorder="1" applyAlignment="1">
      <alignment horizontal="center"/>
    </xf>
    <xf numFmtId="3" fontId="4" fillId="3" borderId="98" xfId="2" applyNumberFormat="1" applyFont="1" applyFill="1" applyBorder="1" applyAlignment="1">
      <alignment horizontal="center"/>
    </xf>
    <xf numFmtId="3" fontId="4" fillId="3" borderId="4" xfId="2" applyNumberFormat="1" applyFont="1" applyFill="1" applyBorder="1" applyAlignment="1">
      <alignment horizontal="center"/>
    </xf>
    <xf numFmtId="3" fontId="4" fillId="3" borderId="36" xfId="2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36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8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4" fillId="3" borderId="0" xfId="2" applyFont="1" applyFill="1" applyBorder="1" applyAlignment="1">
      <alignment horizontal="left"/>
    </xf>
    <xf numFmtId="0" fontId="38" fillId="2" borderId="0" xfId="2" applyFont="1" applyFill="1" applyAlignment="1">
      <alignment horizontal="center" vertical="center"/>
    </xf>
    <xf numFmtId="0" fontId="55" fillId="2" borderId="0" xfId="2" applyFont="1" applyFill="1" applyAlignment="1">
      <alignment horizontal="left" vertical="top" wrapText="1"/>
    </xf>
    <xf numFmtId="166" fontId="4" fillId="3" borderId="0" xfId="2" applyNumberFormat="1" applyFont="1" applyFill="1" applyBorder="1" applyAlignment="1">
      <alignment horizontal="center" wrapText="1"/>
    </xf>
    <xf numFmtId="0" fontId="55" fillId="3" borderId="0" xfId="2" applyFont="1" applyFill="1" applyBorder="1" applyAlignment="1">
      <alignment horizontal="left"/>
    </xf>
    <xf numFmtId="166" fontId="4" fillId="3" borderId="0" xfId="2" applyNumberFormat="1" applyFont="1" applyFill="1" applyBorder="1" applyAlignment="1">
      <alignment horizontal="left" wrapText="1"/>
    </xf>
    <xf numFmtId="0" fontId="38" fillId="2" borderId="0" xfId="2" applyFont="1" applyFill="1" applyAlignment="1">
      <alignment horizontal="left" vertical="center" wrapText="1"/>
    </xf>
    <xf numFmtId="0" fontId="38" fillId="2" borderId="0" xfId="2" applyFont="1" applyFill="1" applyAlignment="1">
      <alignment horizontal="left" vertical="center"/>
    </xf>
    <xf numFmtId="3" fontId="18" fillId="10" borderId="0" xfId="2" applyNumberFormat="1" applyFont="1" applyFill="1" applyBorder="1" applyAlignment="1">
      <alignment horizontal="center" vertical="center" wrapText="1"/>
    </xf>
    <xf numFmtId="3" fontId="45" fillId="9" borderId="0" xfId="2" applyNumberFormat="1" applyFont="1" applyFill="1" applyBorder="1" applyAlignment="1">
      <alignment horizontal="center" vertical="center" wrapText="1"/>
    </xf>
    <xf numFmtId="166" fontId="43" fillId="3" borderId="0" xfId="2" applyNumberFormat="1" applyFont="1" applyFill="1" applyBorder="1" applyAlignment="1">
      <alignment horizontal="left" wrapText="1"/>
    </xf>
    <xf numFmtId="166" fontId="57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7" fillId="2" borderId="0" xfId="2" applyFont="1" applyFill="1" applyAlignment="1">
      <alignment horizontal="left" vertical="center" wrapText="1"/>
    </xf>
    <xf numFmtId="0" fontId="52" fillId="2" borderId="0" xfId="2" applyFont="1" applyFill="1" applyAlignment="1">
      <alignment horizontal="center" wrapText="1"/>
    </xf>
    <xf numFmtId="0" fontId="54" fillId="14" borderId="0" xfId="2" applyFont="1" applyFill="1" applyAlignment="1">
      <alignment horizontal="center" vertical="center" wrapText="1"/>
    </xf>
    <xf numFmtId="0" fontId="54" fillId="14" borderId="0" xfId="2" applyFont="1" applyFill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5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111" xfId="2" applyNumberFormat="1" applyFont="1" applyFill="1" applyBorder="1" applyAlignment="1">
      <alignment horizontal="center" vertical="center" wrapText="1"/>
    </xf>
    <xf numFmtId="3" fontId="18" fillId="16" borderId="110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2481.910466691224</c:v>
                </c:pt>
                <c:pt idx="1">
                  <c:v>-2213.9183811394978</c:v>
                </c:pt>
                <c:pt idx="2">
                  <c:v>730.844382</c:v>
                </c:pt>
                <c:pt idx="3">
                  <c:v>-9.5552060000000001</c:v>
                </c:pt>
                <c:pt idx="4">
                  <c:v>13.270028</c:v>
                </c:pt>
                <c:pt idx="5">
                  <c:v>-12.684335349911708</c:v>
                </c:pt>
                <c:pt idx="6">
                  <c:v>-989.86695420181491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82777344"/>
        <c:axId val="182778880"/>
        <c:axId val="0"/>
      </c:bar3DChart>
      <c:catAx>
        <c:axId val="182777344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82778880"/>
        <c:crosses val="autoZero"/>
        <c:auto val="1"/>
        <c:lblAlgn val="ctr"/>
        <c:lblOffset val="100"/>
        <c:noMultiLvlLbl val="0"/>
      </c:catAx>
      <c:valAx>
        <c:axId val="182778880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2777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59488"/>
        <c:axId val="186577664"/>
      </c:barChart>
      <c:catAx>
        <c:axId val="186559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86577664"/>
        <c:crosses val="autoZero"/>
        <c:auto val="1"/>
        <c:lblAlgn val="ctr"/>
        <c:lblOffset val="100"/>
        <c:noMultiLvlLbl val="0"/>
      </c:catAx>
      <c:valAx>
        <c:axId val="18657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6559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30.222739402515725</c:v>
                </c:pt>
                <c:pt idx="60">
                  <c:v>32.066782044025153</c:v>
                </c:pt>
                <c:pt idx="61">
                  <c:v>31.978910157232704</c:v>
                </c:pt>
                <c:pt idx="62">
                  <c:v>32.285091855345911</c:v>
                </c:pt>
                <c:pt idx="63">
                  <c:v>33.525023836477985</c:v>
                </c:pt>
                <c:pt idx="64">
                  <c:v>31.256962704402515</c:v>
                </c:pt>
                <c:pt idx="65">
                  <c:v>26.704598930817607</c:v>
                </c:pt>
                <c:pt idx="66">
                  <c:v>26.051285440251569</c:v>
                </c:pt>
                <c:pt idx="67">
                  <c:v>29.276572044025155</c:v>
                </c:pt>
                <c:pt idx="68">
                  <c:v>27.639506572327043</c:v>
                </c:pt>
                <c:pt idx="69">
                  <c:v>30.736072327044024</c:v>
                </c:pt>
                <c:pt idx="70">
                  <c:v>31.483039685534589</c:v>
                </c:pt>
                <c:pt idx="71">
                  <c:v>31.523914874213837</c:v>
                </c:pt>
                <c:pt idx="72">
                  <c:v>28.851615157232704</c:v>
                </c:pt>
                <c:pt idx="73">
                  <c:v>28.216592044025155</c:v>
                </c:pt>
                <c:pt idx="74">
                  <c:v>28.050054308176101</c:v>
                </c:pt>
                <c:pt idx="75">
                  <c:v>25.987035440251571</c:v>
                </c:pt>
                <c:pt idx="76">
                  <c:v>26.187643081761006</c:v>
                </c:pt>
                <c:pt idx="77">
                  <c:v>26.922527327044026</c:v>
                </c:pt>
                <c:pt idx="78">
                  <c:v>26.551015723270439</c:v>
                </c:pt>
                <c:pt idx="79">
                  <c:v>22.79059044025157</c:v>
                </c:pt>
                <c:pt idx="80">
                  <c:v>27.278467044025156</c:v>
                </c:pt>
                <c:pt idx="81">
                  <c:v>28.337994779874212</c:v>
                </c:pt>
                <c:pt idx="82">
                  <c:v>25.833110723270437</c:v>
                </c:pt>
                <c:pt idx="83">
                  <c:v>22.730063270440251</c:v>
                </c:pt>
                <c:pt idx="84">
                  <c:v>22.593935911949682</c:v>
                </c:pt>
                <c:pt idx="85">
                  <c:v>24.635889591194967</c:v>
                </c:pt>
                <c:pt idx="86">
                  <c:v>22.183712893081761</c:v>
                </c:pt>
                <c:pt idx="87">
                  <c:v>23.4280463836478</c:v>
                </c:pt>
                <c:pt idx="88">
                  <c:v>27.048788176100626</c:v>
                </c:pt>
                <c:pt idx="89">
                  <c:v>28.941355157232707</c:v>
                </c:pt>
                <c:pt idx="90">
                  <c:v>21</c:v>
                </c:pt>
                <c:pt idx="91">
                  <c:v>21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21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21</c:v>
                </c:pt>
                <c:pt idx="107">
                  <c:v>21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21</c:v>
                </c:pt>
                <c:pt idx="112">
                  <c:v>21</c:v>
                </c:pt>
                <c:pt idx="113">
                  <c:v>21</c:v>
                </c:pt>
                <c:pt idx="114">
                  <c:v>21</c:v>
                </c:pt>
                <c:pt idx="115">
                  <c:v>21</c:v>
                </c:pt>
                <c:pt idx="116">
                  <c:v>21</c:v>
                </c:pt>
                <c:pt idx="117">
                  <c:v>21</c:v>
                </c:pt>
                <c:pt idx="118">
                  <c:v>21</c:v>
                </c:pt>
                <c:pt idx="119">
                  <c:v>21</c:v>
                </c:pt>
                <c:pt idx="120">
                  <c:v>12.903225806451612</c:v>
                </c:pt>
                <c:pt idx="121">
                  <c:v>12.903225806451612</c:v>
                </c:pt>
                <c:pt idx="122">
                  <c:v>12.903225806451612</c:v>
                </c:pt>
                <c:pt idx="123">
                  <c:v>12.903225806451612</c:v>
                </c:pt>
                <c:pt idx="124">
                  <c:v>12.903225806451612</c:v>
                </c:pt>
                <c:pt idx="125">
                  <c:v>12.903225806451612</c:v>
                </c:pt>
                <c:pt idx="126">
                  <c:v>12.903225806451612</c:v>
                </c:pt>
                <c:pt idx="127">
                  <c:v>12.903225806451612</c:v>
                </c:pt>
                <c:pt idx="128">
                  <c:v>12.903225806451612</c:v>
                </c:pt>
                <c:pt idx="129">
                  <c:v>12.903225806451612</c:v>
                </c:pt>
                <c:pt idx="130">
                  <c:v>12.903225806451612</c:v>
                </c:pt>
                <c:pt idx="131">
                  <c:v>12.903225806451612</c:v>
                </c:pt>
                <c:pt idx="132">
                  <c:v>12.903225806451612</c:v>
                </c:pt>
                <c:pt idx="133">
                  <c:v>12.903225806451612</c:v>
                </c:pt>
                <c:pt idx="134">
                  <c:v>12.903225806451612</c:v>
                </c:pt>
                <c:pt idx="135">
                  <c:v>12.903225806451612</c:v>
                </c:pt>
                <c:pt idx="136">
                  <c:v>12.903225806451612</c:v>
                </c:pt>
                <c:pt idx="137">
                  <c:v>12.903225806451612</c:v>
                </c:pt>
                <c:pt idx="138">
                  <c:v>12.903225806451612</c:v>
                </c:pt>
                <c:pt idx="139">
                  <c:v>12.903225806451612</c:v>
                </c:pt>
                <c:pt idx="140">
                  <c:v>12.903225806451612</c:v>
                </c:pt>
                <c:pt idx="141">
                  <c:v>12.903225806451612</c:v>
                </c:pt>
                <c:pt idx="142">
                  <c:v>12.903225806451612</c:v>
                </c:pt>
                <c:pt idx="143">
                  <c:v>12.903225806451612</c:v>
                </c:pt>
                <c:pt idx="144">
                  <c:v>12.903225806451612</c:v>
                </c:pt>
                <c:pt idx="145">
                  <c:v>12.903225806451612</c:v>
                </c:pt>
                <c:pt idx="146">
                  <c:v>12.903225806451612</c:v>
                </c:pt>
                <c:pt idx="147">
                  <c:v>12.903225806451612</c:v>
                </c:pt>
                <c:pt idx="148">
                  <c:v>12.903225806451612</c:v>
                </c:pt>
                <c:pt idx="149">
                  <c:v>12.903225806451612</c:v>
                </c:pt>
                <c:pt idx="150">
                  <c:v>12.903225806451612</c:v>
                </c:pt>
                <c:pt idx="151">
                  <c:v>10.333333333333334</c:v>
                </c:pt>
                <c:pt idx="152">
                  <c:v>10.333333333333334</c:v>
                </c:pt>
                <c:pt idx="153">
                  <c:v>10.333333333333334</c:v>
                </c:pt>
                <c:pt idx="154">
                  <c:v>10.333333333333334</c:v>
                </c:pt>
                <c:pt idx="155">
                  <c:v>10.333333333333334</c:v>
                </c:pt>
                <c:pt idx="156">
                  <c:v>10.333333333333334</c:v>
                </c:pt>
                <c:pt idx="157">
                  <c:v>10.333333333333334</c:v>
                </c:pt>
                <c:pt idx="158">
                  <c:v>10.333333333333334</c:v>
                </c:pt>
                <c:pt idx="159">
                  <c:v>10.333333333333334</c:v>
                </c:pt>
                <c:pt idx="160">
                  <c:v>10.333333333333334</c:v>
                </c:pt>
                <c:pt idx="161">
                  <c:v>10.333333333333334</c:v>
                </c:pt>
                <c:pt idx="162">
                  <c:v>10.333333333333334</c:v>
                </c:pt>
                <c:pt idx="163">
                  <c:v>10.333333333333334</c:v>
                </c:pt>
                <c:pt idx="164">
                  <c:v>10.333333333333334</c:v>
                </c:pt>
                <c:pt idx="165">
                  <c:v>10.333333333333334</c:v>
                </c:pt>
                <c:pt idx="166">
                  <c:v>10.333333333333334</c:v>
                </c:pt>
                <c:pt idx="167">
                  <c:v>10.333333333333334</c:v>
                </c:pt>
                <c:pt idx="168">
                  <c:v>10.333333333333334</c:v>
                </c:pt>
                <c:pt idx="169">
                  <c:v>10.333333333333334</c:v>
                </c:pt>
                <c:pt idx="170">
                  <c:v>10.333333333333334</c:v>
                </c:pt>
                <c:pt idx="171">
                  <c:v>10.333333333333334</c:v>
                </c:pt>
                <c:pt idx="172">
                  <c:v>10.333333333333334</c:v>
                </c:pt>
                <c:pt idx="173">
                  <c:v>10.333333333333334</c:v>
                </c:pt>
                <c:pt idx="174">
                  <c:v>10.333333333333334</c:v>
                </c:pt>
                <c:pt idx="175">
                  <c:v>10.333333333333334</c:v>
                </c:pt>
                <c:pt idx="176">
                  <c:v>10.333333333333334</c:v>
                </c:pt>
                <c:pt idx="177">
                  <c:v>10.333333333333334</c:v>
                </c:pt>
                <c:pt idx="178">
                  <c:v>10.333333333333334</c:v>
                </c:pt>
                <c:pt idx="179">
                  <c:v>10.333333333333334</c:v>
                </c:pt>
                <c:pt idx="180">
                  <c:v>10.333333333333334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12.666666666666666</c:v>
                </c:pt>
                <c:pt idx="244">
                  <c:v>12.666666666666666</c:v>
                </c:pt>
                <c:pt idx="245">
                  <c:v>12.666666666666666</c:v>
                </c:pt>
                <c:pt idx="246">
                  <c:v>12.666666666666666</c:v>
                </c:pt>
                <c:pt idx="247">
                  <c:v>12.666666666666666</c:v>
                </c:pt>
                <c:pt idx="248">
                  <c:v>12.666666666666666</c:v>
                </c:pt>
                <c:pt idx="249">
                  <c:v>12.666666666666666</c:v>
                </c:pt>
                <c:pt idx="250">
                  <c:v>12.666666666666666</c:v>
                </c:pt>
                <c:pt idx="251">
                  <c:v>12.666666666666666</c:v>
                </c:pt>
                <c:pt idx="252">
                  <c:v>12.666666666666666</c:v>
                </c:pt>
                <c:pt idx="253">
                  <c:v>12.666666666666666</c:v>
                </c:pt>
                <c:pt idx="254">
                  <c:v>12.666666666666666</c:v>
                </c:pt>
                <c:pt idx="255">
                  <c:v>12.666666666666666</c:v>
                </c:pt>
                <c:pt idx="256">
                  <c:v>12.666666666666666</c:v>
                </c:pt>
                <c:pt idx="257">
                  <c:v>12.666666666666666</c:v>
                </c:pt>
                <c:pt idx="258">
                  <c:v>12.666666666666666</c:v>
                </c:pt>
                <c:pt idx="259">
                  <c:v>12.666666666666666</c:v>
                </c:pt>
                <c:pt idx="260">
                  <c:v>12.666666666666666</c:v>
                </c:pt>
                <c:pt idx="261">
                  <c:v>12.666666666666666</c:v>
                </c:pt>
                <c:pt idx="262">
                  <c:v>12.666666666666666</c:v>
                </c:pt>
                <c:pt idx="263">
                  <c:v>12.666666666666666</c:v>
                </c:pt>
                <c:pt idx="264">
                  <c:v>12.666666666666666</c:v>
                </c:pt>
                <c:pt idx="265">
                  <c:v>12.666666666666666</c:v>
                </c:pt>
                <c:pt idx="266">
                  <c:v>12.666666666666666</c:v>
                </c:pt>
                <c:pt idx="267">
                  <c:v>12.666666666666666</c:v>
                </c:pt>
                <c:pt idx="268">
                  <c:v>12.666666666666666</c:v>
                </c:pt>
                <c:pt idx="269">
                  <c:v>12.666666666666666</c:v>
                </c:pt>
                <c:pt idx="270">
                  <c:v>12.666666666666666</c:v>
                </c:pt>
                <c:pt idx="271">
                  <c:v>12.666666666666666</c:v>
                </c:pt>
                <c:pt idx="272">
                  <c:v>12.666666666666666</c:v>
                </c:pt>
                <c:pt idx="273">
                  <c:v>20.967741935483872</c:v>
                </c:pt>
                <c:pt idx="274">
                  <c:v>20.967741935483872</c:v>
                </c:pt>
                <c:pt idx="275">
                  <c:v>20.967741935483872</c:v>
                </c:pt>
                <c:pt idx="276">
                  <c:v>20.967741935483872</c:v>
                </c:pt>
                <c:pt idx="277">
                  <c:v>20.967741935483872</c:v>
                </c:pt>
                <c:pt idx="278">
                  <c:v>20.967741935483872</c:v>
                </c:pt>
                <c:pt idx="279">
                  <c:v>20.967741935483872</c:v>
                </c:pt>
                <c:pt idx="280">
                  <c:v>20.967741935483872</c:v>
                </c:pt>
                <c:pt idx="281">
                  <c:v>20.967741935483872</c:v>
                </c:pt>
                <c:pt idx="282">
                  <c:v>20.967741935483872</c:v>
                </c:pt>
                <c:pt idx="283">
                  <c:v>20.967741935483872</c:v>
                </c:pt>
                <c:pt idx="284">
                  <c:v>20.967741935483872</c:v>
                </c:pt>
                <c:pt idx="285">
                  <c:v>20.967741935483872</c:v>
                </c:pt>
                <c:pt idx="286">
                  <c:v>20.967741935483872</c:v>
                </c:pt>
                <c:pt idx="287">
                  <c:v>20.967741935483872</c:v>
                </c:pt>
                <c:pt idx="288">
                  <c:v>20.967741935483872</c:v>
                </c:pt>
                <c:pt idx="289">
                  <c:v>20.967741935483872</c:v>
                </c:pt>
                <c:pt idx="290">
                  <c:v>20.967741935483872</c:v>
                </c:pt>
                <c:pt idx="291">
                  <c:v>20.967741935483872</c:v>
                </c:pt>
                <c:pt idx="292">
                  <c:v>20.967741935483872</c:v>
                </c:pt>
                <c:pt idx="293">
                  <c:v>20.967741935483872</c:v>
                </c:pt>
                <c:pt idx="294">
                  <c:v>20.967741935483872</c:v>
                </c:pt>
                <c:pt idx="295">
                  <c:v>20.967741935483872</c:v>
                </c:pt>
                <c:pt idx="296">
                  <c:v>20.967741935483872</c:v>
                </c:pt>
                <c:pt idx="297">
                  <c:v>20.967741935483872</c:v>
                </c:pt>
                <c:pt idx="298">
                  <c:v>20.967741935483872</c:v>
                </c:pt>
                <c:pt idx="299">
                  <c:v>20.967741935483872</c:v>
                </c:pt>
                <c:pt idx="300">
                  <c:v>20.967741935483872</c:v>
                </c:pt>
                <c:pt idx="301">
                  <c:v>20.967741935483872</c:v>
                </c:pt>
                <c:pt idx="302">
                  <c:v>20.967741935483872</c:v>
                </c:pt>
                <c:pt idx="303">
                  <c:v>20.967741935483872</c:v>
                </c:pt>
                <c:pt idx="304">
                  <c:v>30.666666666666668</c:v>
                </c:pt>
                <c:pt idx="305">
                  <c:v>30.666666666666668</c:v>
                </c:pt>
                <c:pt idx="306">
                  <c:v>30.666666666666668</c:v>
                </c:pt>
                <c:pt idx="307">
                  <c:v>30.666666666666668</c:v>
                </c:pt>
                <c:pt idx="308">
                  <c:v>30.666666666666668</c:v>
                </c:pt>
                <c:pt idx="309">
                  <c:v>30.666666666666668</c:v>
                </c:pt>
                <c:pt idx="310">
                  <c:v>30.666666666666668</c:v>
                </c:pt>
                <c:pt idx="311">
                  <c:v>30.666666666666668</c:v>
                </c:pt>
                <c:pt idx="312">
                  <c:v>30.666666666666668</c:v>
                </c:pt>
                <c:pt idx="313">
                  <c:v>30.666666666666668</c:v>
                </c:pt>
                <c:pt idx="314">
                  <c:v>30.666666666666668</c:v>
                </c:pt>
                <c:pt idx="315">
                  <c:v>30.666666666666668</c:v>
                </c:pt>
                <c:pt idx="316">
                  <c:v>30.666666666666668</c:v>
                </c:pt>
                <c:pt idx="317">
                  <c:v>30.666666666666668</c:v>
                </c:pt>
                <c:pt idx="318">
                  <c:v>30.666666666666668</c:v>
                </c:pt>
                <c:pt idx="319">
                  <c:v>30.666666666666668</c:v>
                </c:pt>
                <c:pt idx="320">
                  <c:v>30.666666666666668</c:v>
                </c:pt>
                <c:pt idx="321">
                  <c:v>30.666666666666668</c:v>
                </c:pt>
                <c:pt idx="322">
                  <c:v>30.666666666666668</c:v>
                </c:pt>
                <c:pt idx="323">
                  <c:v>30.666666666666668</c:v>
                </c:pt>
                <c:pt idx="324">
                  <c:v>30.666666666666668</c:v>
                </c:pt>
                <c:pt idx="325">
                  <c:v>30.666666666666668</c:v>
                </c:pt>
                <c:pt idx="326">
                  <c:v>30.666666666666668</c:v>
                </c:pt>
                <c:pt idx="327">
                  <c:v>30.666666666666668</c:v>
                </c:pt>
                <c:pt idx="328">
                  <c:v>30.666666666666668</c:v>
                </c:pt>
                <c:pt idx="329">
                  <c:v>30.666666666666668</c:v>
                </c:pt>
                <c:pt idx="330">
                  <c:v>30.666666666666668</c:v>
                </c:pt>
                <c:pt idx="331">
                  <c:v>30.666666666666668</c:v>
                </c:pt>
                <c:pt idx="332">
                  <c:v>30.666666666666668</c:v>
                </c:pt>
                <c:pt idx="333">
                  <c:v>30.666666666666668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22944"/>
        <c:axId val="186728832"/>
      </c:lineChart>
      <c:dateAx>
        <c:axId val="186722944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86728832"/>
        <c:crosses val="autoZero"/>
        <c:auto val="1"/>
        <c:lblOffset val="100"/>
        <c:baseTimeUnit val="days"/>
      </c:dateAx>
      <c:valAx>
        <c:axId val="186728832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6722944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503360"/>
        <c:axId val="191505152"/>
      </c:barChart>
      <c:catAx>
        <c:axId val="191503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91505152"/>
        <c:crosses val="autoZero"/>
        <c:auto val="1"/>
        <c:lblAlgn val="ctr"/>
        <c:lblOffset val="100"/>
        <c:noMultiLvlLbl val="0"/>
      </c:catAx>
      <c:valAx>
        <c:axId val="191505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150336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subjektů</a:t>
            </a:r>
            <a:r>
              <a:rPr lang="cs-CZ" sz="1000" b="0"/>
              <a:t> (podíl)</a:t>
            </a:r>
            <a:endParaRPr lang="en-US" sz="1000" b="0"/>
          </a:p>
        </c:rich>
      </c:tx>
      <c:layout>
        <c:manualLayout>
          <c:xMode val="edge"/>
          <c:yMode val="edge"/>
          <c:x val="0.32318071352192085"/>
          <c:y val="6.617040598930749E-3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58624153462299"/>
          <c:y val="0.18938230707549208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599809268214464E-4"/>
                  <c:y val="1.72964422555201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'17'!$D$16:$D$19</c:f>
              <c:numCache>
                <c:formatCode>General</c:formatCode>
                <c:ptCount val="4"/>
                <c:pt idx="0">
                  <c:v>63</c:v>
                </c:pt>
                <c:pt idx="1">
                  <c:v>20</c:v>
                </c:pt>
                <c:pt idx="2">
                  <c:v>6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Podíl </a:t>
            </a:r>
            <a:r>
              <a:rPr lang="cs-CZ" sz="1000" b="0"/>
              <a:t>subjektů zajišťujících BSD na celkovém </a:t>
            </a:r>
            <a:r>
              <a:rPr lang="en-US" sz="1000" b="0"/>
              <a:t>počtu </a:t>
            </a:r>
          </a:p>
        </c:rich>
      </c:tx>
      <c:layout>
        <c:manualLayout>
          <c:xMode val="edge"/>
          <c:yMode val="edge"/>
          <c:x val="0.24911835470454705"/>
          <c:y val="0.13771511208945469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'17'!$B$11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'17'!$C$10</c:f>
              <c:numCache>
                <c:formatCode>General</c:formatCode>
                <c:ptCount val="1"/>
              </c:numCache>
            </c:numRef>
          </c:cat>
          <c:val>
            <c:numRef>
              <c:f>'17'!$C$11</c:f>
              <c:numCache>
                <c:formatCode>0%</c:formatCode>
                <c:ptCount val="1"/>
                <c:pt idx="0">
                  <c:v>0.44736842105263158</c:v>
                </c:pt>
              </c:numCache>
            </c:numRef>
          </c:val>
        </c:ser>
        <c:ser>
          <c:idx val="1"/>
          <c:order val="1"/>
          <c:tx>
            <c:strRef>
              <c:f>'17'!$B$12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'17'!$C$10</c:f>
              <c:numCache>
                <c:formatCode>General</c:formatCode>
                <c:ptCount val="1"/>
              </c:numCache>
            </c:numRef>
          </c:cat>
          <c:val>
            <c:numRef>
              <c:f>'17'!$C$12</c:f>
              <c:numCache>
                <c:formatCode>0%</c:formatCode>
                <c:ptCount val="1"/>
                <c:pt idx="0">
                  <c:v>0.55263157894736847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1580416"/>
        <c:axId val="191586304"/>
      </c:barChart>
      <c:catAx>
        <c:axId val="191580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1586304"/>
        <c:crosses val="autoZero"/>
        <c:auto val="1"/>
        <c:lblAlgn val="ctr"/>
        <c:lblOffset val="100"/>
        <c:noMultiLvlLbl val="0"/>
      </c:catAx>
      <c:valAx>
        <c:axId val="19158630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9158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49034361988433E-2"/>
          <c:y val="0.21244450347579638"/>
          <c:w val="0.76349617945934256"/>
          <c:h val="0.71933847557176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'17'!$B$42</c:f>
              <c:strCache>
                <c:ptCount val="1"/>
                <c:pt idx="0">
                  <c:v>počet
 subjektů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'17'!$B$43:$B$48</c:f>
              <c:numCache>
                <c:formatCode>General</c:formatCode>
                <c:ptCount val="6"/>
                <c:pt idx="0">
                  <c:v>13</c:v>
                </c:pt>
                <c:pt idx="1">
                  <c:v>4</c:v>
                </c:pt>
                <c:pt idx="2">
                  <c:v>17</c:v>
                </c:pt>
                <c:pt idx="3">
                  <c:v>3</c:v>
                </c:pt>
                <c:pt idx="4">
                  <c:v>2</c:v>
                </c:pt>
                <c:pt idx="5">
                  <c:v>84</c:v>
                </c:pt>
              </c:numCache>
            </c:numRef>
          </c:val>
        </c:ser>
        <c:ser>
          <c:idx val="1"/>
          <c:order val="1"/>
          <c:tx>
            <c:strRef>
              <c:f>'17'!$C$42</c:f>
              <c:strCache>
                <c:ptCount val="1"/>
                <c:pt idx="0">
                  <c:v>počet
zajištění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'17'!$C$43:$C$48</c:f>
              <c:numCache>
                <c:formatCode>General</c:formatCode>
                <c:ptCount val="6"/>
                <c:pt idx="0">
                  <c:v>16</c:v>
                </c:pt>
                <c:pt idx="1">
                  <c:v>4</c:v>
                </c:pt>
                <c:pt idx="2">
                  <c:v>55</c:v>
                </c:pt>
                <c:pt idx="3">
                  <c:v>5</c:v>
                </c:pt>
                <c:pt idx="4">
                  <c:v>5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1603072"/>
        <c:axId val="191604992"/>
      </c:barChart>
      <c:catAx>
        <c:axId val="191603072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Prokazování BSD</a:t>
                </a:r>
              </a:p>
            </c:rich>
          </c:tx>
          <c:layout>
            <c:manualLayout>
              <c:xMode val="edge"/>
              <c:yMode val="edge"/>
              <c:x val="1.0964912280701754E-2"/>
              <c:y val="0.3147802894315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1604992"/>
        <c:crosses val="autoZero"/>
        <c:auto val="1"/>
        <c:lblAlgn val="ctr"/>
        <c:lblOffset val="100"/>
        <c:noMultiLvlLbl val="0"/>
      </c:catAx>
      <c:valAx>
        <c:axId val="191604992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subjektů/zajištění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1603072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</a:t>
            </a:r>
            <a:r>
              <a:rPr lang="cs-CZ" sz="1000" b="0"/>
              <a:t>zajištění (podíl)</a:t>
            </a:r>
            <a:endParaRPr lang="en-US" sz="1000" b="0"/>
          </a:p>
        </c:rich>
      </c:tx>
      <c:layout>
        <c:manualLayout>
          <c:xMode val="edge"/>
          <c:yMode val="edge"/>
          <c:x val="0.43840705097048055"/>
          <c:y val="0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35167363338836"/>
          <c:y val="0.1827652664765613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5428404782735492"/>
                  <c:y val="-1.32340811978614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'17'!$E$16:$E$19</c:f>
              <c:numCache>
                <c:formatCode>General</c:formatCode>
                <c:ptCount val="4"/>
                <c:pt idx="0">
                  <c:v>82</c:v>
                </c:pt>
                <c:pt idx="1">
                  <c:v>77</c:v>
                </c:pt>
                <c:pt idx="2">
                  <c:v>14</c:v>
                </c:pt>
                <c:pt idx="3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Podíl </a:t>
            </a:r>
            <a:r>
              <a:rPr lang="cs-CZ"/>
              <a:t>zajištění </a:t>
            </a:r>
            <a:r>
              <a:rPr lang="en-US"/>
              <a:t>BSD </a:t>
            </a:r>
            <a:r>
              <a:rPr lang="cs-CZ"/>
              <a:t>na celkové dodávce zákazníkům v ČR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6578710234510589"/>
          <c:y val="4.6601951247753994E-2"/>
        </c:manualLayout>
      </c:layout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13956073080439E-2"/>
          <c:y val="0.11962472178472018"/>
          <c:w val="0.90415672796600755"/>
          <c:h val="0.737775871058866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'18'!$B$32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'18'!$B$33:$B$35</c:f>
              <c:numCache>
                <c:formatCode>0.0%</c:formatCode>
                <c:ptCount val="3"/>
                <c:pt idx="0">
                  <c:v>0.98326888491589515</c:v>
                </c:pt>
                <c:pt idx="1">
                  <c:v>0.72260049292291184</c:v>
                </c:pt>
                <c:pt idx="2">
                  <c:v>0.66373256764134436</c:v>
                </c:pt>
              </c:numCache>
            </c:numRef>
          </c:val>
        </c:ser>
        <c:ser>
          <c:idx val="1"/>
          <c:order val="1"/>
          <c:tx>
            <c:strRef>
              <c:f>'18'!$C$32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2"/>
            <c:invertIfNegative val="0"/>
            <c:bubble3D val="0"/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tx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'18'!$C$33:$C$35</c:f>
              <c:numCache>
                <c:formatCode>0.0%</c:formatCode>
                <c:ptCount val="3"/>
                <c:pt idx="0">
                  <c:v>1.6731115084104853E-2</c:v>
                </c:pt>
                <c:pt idx="1">
                  <c:v>0.27739950707708816</c:v>
                </c:pt>
                <c:pt idx="2">
                  <c:v>0.33626743235865564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cylinder"/>
        <c:axId val="191730048"/>
        <c:axId val="191731584"/>
        <c:axId val="0"/>
      </c:bar3DChart>
      <c:catAx>
        <c:axId val="19173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91731584"/>
        <c:crosses val="autoZero"/>
        <c:auto val="1"/>
        <c:lblAlgn val="ctr"/>
        <c:lblOffset val="100"/>
        <c:noMultiLvlLbl val="0"/>
      </c:catAx>
      <c:valAx>
        <c:axId val="19173158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917300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4573734472116069"/>
          <c:y val="0.93068788907569588"/>
          <c:w val="0.15651662434703809"/>
          <c:h val="4.97756598530799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127101.92699999998</c:v>
                </c:pt>
                <c:pt idx="1">
                  <c:v>811335.6002018149</c:v>
                </c:pt>
                <c:pt idx="2">
                  <c:v>40165.614999999998</c:v>
                </c:pt>
                <c:pt idx="3">
                  <c:v>11263.812000000002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112864.99400002522</c:v>
                </c:pt>
                <c:pt idx="1">
                  <c:v>735716.00880734029</c:v>
                </c:pt>
                <c:pt idx="2">
                  <c:v>35790.425999999999</c:v>
                </c:pt>
                <c:pt idx="3">
                  <c:v>10770.499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95001728"/>
        <c:axId val="198918144"/>
        <c:axId val="0"/>
      </c:bar3DChart>
      <c:catAx>
        <c:axId val="195001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98918144"/>
        <c:crosses val="autoZero"/>
        <c:auto val="1"/>
        <c:lblAlgn val="ctr"/>
        <c:lblOffset val="100"/>
        <c:noMultiLvlLbl val="0"/>
      </c:catAx>
      <c:valAx>
        <c:axId val="1989181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9500172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127101.92699999998</c:v>
                </c:pt>
                <c:pt idx="1">
                  <c:v>811335.6002018149</c:v>
                </c:pt>
                <c:pt idx="2">
                  <c:v>40165.614999999998</c:v>
                </c:pt>
                <c:pt idx="3">
                  <c:v>11263.812000000002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626726809902531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34469.678999999996</c:v>
                </c:pt>
                <c:pt idx="1">
                  <c:v>146027.20000000001</c:v>
                </c:pt>
                <c:pt idx="2">
                  <c:v>25601.599999999999</c:v>
                </c:pt>
                <c:pt idx="3">
                  <c:v>40545.099999999991</c:v>
                </c:pt>
                <c:pt idx="4">
                  <c:v>43547.4</c:v>
                </c:pt>
                <c:pt idx="5">
                  <c:v>104690.731</c:v>
                </c:pt>
                <c:pt idx="6">
                  <c:v>55414.3</c:v>
                </c:pt>
                <c:pt idx="7">
                  <c:v>44341.3</c:v>
                </c:pt>
                <c:pt idx="8">
                  <c:v>46960.800000000003</c:v>
                </c:pt>
                <c:pt idx="9">
                  <c:v>124250.69113713095</c:v>
                </c:pt>
                <c:pt idx="10">
                  <c:v>114917.545</c:v>
                </c:pt>
                <c:pt idx="11">
                  <c:v>93152.859999999986</c:v>
                </c:pt>
                <c:pt idx="12">
                  <c:v>43834.379000000001</c:v>
                </c:pt>
                <c:pt idx="13">
                  <c:v>51755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29357.121999999996</c:v>
                </c:pt>
                <c:pt idx="1">
                  <c:v>128737.2</c:v>
                </c:pt>
                <c:pt idx="2">
                  <c:v>23288.899999999998</c:v>
                </c:pt>
                <c:pt idx="3">
                  <c:v>37335.1</c:v>
                </c:pt>
                <c:pt idx="4">
                  <c:v>39555.699999999997</c:v>
                </c:pt>
                <c:pt idx="5">
                  <c:v>94497.23000000001</c:v>
                </c:pt>
                <c:pt idx="6">
                  <c:v>51215.7</c:v>
                </c:pt>
                <c:pt idx="7">
                  <c:v>40008.5</c:v>
                </c:pt>
                <c:pt idx="8">
                  <c:v>43112.7</c:v>
                </c:pt>
                <c:pt idx="9">
                  <c:v>110309.55241369439</c:v>
                </c:pt>
                <c:pt idx="10">
                  <c:v>105572.264</c:v>
                </c:pt>
                <c:pt idx="11">
                  <c:v>80044.956000000006</c:v>
                </c:pt>
                <c:pt idx="12">
                  <c:v>42446.779000000002</c:v>
                </c:pt>
                <c:pt idx="13">
                  <c:v>48294.100000000006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230216832"/>
        <c:axId val="230218368"/>
        <c:axId val="0"/>
      </c:bar3DChart>
      <c:catAx>
        <c:axId val="230216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30218368"/>
        <c:crosses val="autoZero"/>
        <c:auto val="1"/>
        <c:lblAlgn val="ctr"/>
        <c:lblOffset val="100"/>
        <c:noMultiLvlLbl val="0"/>
      </c:catAx>
      <c:valAx>
        <c:axId val="2302183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302168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42036</c:v>
                </c:pt>
                <c:pt idx="1">
                  <c:v>42037</c:v>
                </c:pt>
                <c:pt idx="2">
                  <c:v>42038</c:v>
                </c:pt>
                <c:pt idx="3">
                  <c:v>42039</c:v>
                </c:pt>
                <c:pt idx="4">
                  <c:v>42040</c:v>
                </c:pt>
                <c:pt idx="5">
                  <c:v>42041</c:v>
                </c:pt>
                <c:pt idx="6">
                  <c:v>42042</c:v>
                </c:pt>
                <c:pt idx="7">
                  <c:v>42043</c:v>
                </c:pt>
                <c:pt idx="8">
                  <c:v>42044</c:v>
                </c:pt>
                <c:pt idx="9">
                  <c:v>42045</c:v>
                </c:pt>
                <c:pt idx="10">
                  <c:v>42046</c:v>
                </c:pt>
                <c:pt idx="11">
                  <c:v>42047</c:v>
                </c:pt>
                <c:pt idx="12">
                  <c:v>42048</c:v>
                </c:pt>
                <c:pt idx="13">
                  <c:v>42049</c:v>
                </c:pt>
                <c:pt idx="14">
                  <c:v>42050</c:v>
                </c:pt>
                <c:pt idx="15">
                  <c:v>42051</c:v>
                </c:pt>
                <c:pt idx="16">
                  <c:v>42052</c:v>
                </c:pt>
                <c:pt idx="17">
                  <c:v>42053</c:v>
                </c:pt>
                <c:pt idx="18">
                  <c:v>42054</c:v>
                </c:pt>
                <c:pt idx="19">
                  <c:v>42055</c:v>
                </c:pt>
                <c:pt idx="20">
                  <c:v>42056</c:v>
                </c:pt>
                <c:pt idx="21">
                  <c:v>42057</c:v>
                </c:pt>
                <c:pt idx="22">
                  <c:v>42058</c:v>
                </c:pt>
                <c:pt idx="23">
                  <c:v>42059</c:v>
                </c:pt>
                <c:pt idx="24">
                  <c:v>42060</c:v>
                </c:pt>
                <c:pt idx="25">
                  <c:v>42061</c:v>
                </c:pt>
                <c:pt idx="26">
                  <c:v>42062</c:v>
                </c:pt>
                <c:pt idx="27">
                  <c:v>42063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34.443999782272932</c:v>
                </c:pt>
                <c:pt idx="1">
                  <c:v>37.810030602166719</c:v>
                </c:pt>
                <c:pt idx="2">
                  <c:v>40.079616216670246</c:v>
                </c:pt>
                <c:pt idx="3">
                  <c:v>41.461490277269561</c:v>
                </c:pt>
                <c:pt idx="4">
                  <c:v>42.621557004484409</c:v>
                </c:pt>
                <c:pt idx="5">
                  <c:v>41.002694837526164</c:v>
                </c:pt>
                <c:pt idx="6">
                  <c:v>36.310293564588683</c:v>
                </c:pt>
                <c:pt idx="7">
                  <c:v>37.694738891570495</c:v>
                </c:pt>
                <c:pt idx="8">
                  <c:v>39.125366627788033</c:v>
                </c:pt>
                <c:pt idx="9">
                  <c:v>35.860134716284335</c:v>
                </c:pt>
                <c:pt idx="10">
                  <c:v>35.500375108909473</c:v>
                </c:pt>
                <c:pt idx="11">
                  <c:v>35.94283126686328</c:v>
                </c:pt>
                <c:pt idx="12">
                  <c:v>35.457735692935167</c:v>
                </c:pt>
                <c:pt idx="13">
                  <c:v>32.32461074416856</c:v>
                </c:pt>
                <c:pt idx="14">
                  <c:v>31.653059206051871</c:v>
                </c:pt>
                <c:pt idx="15">
                  <c:v>35.010214404985817</c:v>
                </c:pt>
                <c:pt idx="16">
                  <c:v>36.27382433829149</c:v>
                </c:pt>
                <c:pt idx="17">
                  <c:v>36.879590118145963</c:v>
                </c:pt>
                <c:pt idx="18">
                  <c:v>36.528261146452671</c:v>
                </c:pt>
                <c:pt idx="19">
                  <c:v>33.703544034626219</c:v>
                </c:pt>
                <c:pt idx="20">
                  <c:v>29.747995538224668</c:v>
                </c:pt>
                <c:pt idx="21">
                  <c:v>30.593376885161437</c:v>
                </c:pt>
                <c:pt idx="22">
                  <c:v>33.462862272904239</c:v>
                </c:pt>
                <c:pt idx="23">
                  <c:v>32.092613243413886</c:v>
                </c:pt>
                <c:pt idx="24">
                  <c:v>33.199114901346874</c:v>
                </c:pt>
                <c:pt idx="25">
                  <c:v>33.339268505793576</c:v>
                </c:pt>
                <c:pt idx="26">
                  <c:v>32.085560383060248</c:v>
                </c:pt>
                <c:pt idx="27">
                  <c:v>29.662131335351482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4448"/>
        <c:axId val="183083008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42036</c:v>
                </c:pt>
                <c:pt idx="1">
                  <c:v>42037</c:v>
                </c:pt>
                <c:pt idx="2">
                  <c:v>42038</c:v>
                </c:pt>
                <c:pt idx="3">
                  <c:v>42039</c:v>
                </c:pt>
                <c:pt idx="4">
                  <c:v>42040</c:v>
                </c:pt>
                <c:pt idx="5">
                  <c:v>42041</c:v>
                </c:pt>
                <c:pt idx="6">
                  <c:v>42042</c:v>
                </c:pt>
                <c:pt idx="7">
                  <c:v>42043</c:v>
                </c:pt>
                <c:pt idx="8">
                  <c:v>42044</c:v>
                </c:pt>
                <c:pt idx="9">
                  <c:v>42045</c:v>
                </c:pt>
                <c:pt idx="10">
                  <c:v>42046</c:v>
                </c:pt>
                <c:pt idx="11">
                  <c:v>42047</c:v>
                </c:pt>
                <c:pt idx="12">
                  <c:v>42048</c:v>
                </c:pt>
                <c:pt idx="13">
                  <c:v>42049</c:v>
                </c:pt>
                <c:pt idx="14">
                  <c:v>42050</c:v>
                </c:pt>
                <c:pt idx="15">
                  <c:v>42051</c:v>
                </c:pt>
                <c:pt idx="16">
                  <c:v>42052</c:v>
                </c:pt>
                <c:pt idx="17">
                  <c:v>42053</c:v>
                </c:pt>
                <c:pt idx="18">
                  <c:v>42054</c:v>
                </c:pt>
                <c:pt idx="19">
                  <c:v>42055</c:v>
                </c:pt>
                <c:pt idx="20">
                  <c:v>42056</c:v>
                </c:pt>
                <c:pt idx="21">
                  <c:v>42057</c:v>
                </c:pt>
                <c:pt idx="22">
                  <c:v>42058</c:v>
                </c:pt>
                <c:pt idx="23">
                  <c:v>42059</c:v>
                </c:pt>
                <c:pt idx="24">
                  <c:v>42060</c:v>
                </c:pt>
                <c:pt idx="25">
                  <c:v>42061</c:v>
                </c:pt>
                <c:pt idx="26">
                  <c:v>42062</c:v>
                </c:pt>
                <c:pt idx="27">
                  <c:v>42063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-1.4</c:v>
                </c:pt>
                <c:pt idx="1">
                  <c:v>-1.6</c:v>
                </c:pt>
                <c:pt idx="2">
                  <c:v>-2.5</c:v>
                </c:pt>
                <c:pt idx="3">
                  <c:v>-2.9</c:v>
                </c:pt>
                <c:pt idx="4">
                  <c:v>-3.4</c:v>
                </c:pt>
                <c:pt idx="5">
                  <c:v>-3.9</c:v>
                </c:pt>
                <c:pt idx="6">
                  <c:v>-3.7</c:v>
                </c:pt>
                <c:pt idx="7">
                  <c:v>-2.2999999999999998</c:v>
                </c:pt>
                <c:pt idx="8">
                  <c:v>0.4</c:v>
                </c:pt>
                <c:pt idx="9">
                  <c:v>2.4</c:v>
                </c:pt>
                <c:pt idx="10">
                  <c:v>0.8</c:v>
                </c:pt>
                <c:pt idx="11">
                  <c:v>0.6</c:v>
                </c:pt>
                <c:pt idx="12">
                  <c:v>-0.1</c:v>
                </c:pt>
                <c:pt idx="13">
                  <c:v>0.7</c:v>
                </c:pt>
                <c:pt idx="14">
                  <c:v>2.2999999999999998</c:v>
                </c:pt>
                <c:pt idx="15">
                  <c:v>0.8</c:v>
                </c:pt>
                <c:pt idx="16">
                  <c:v>-0.2</c:v>
                </c:pt>
                <c:pt idx="17">
                  <c:v>-0.3</c:v>
                </c:pt>
                <c:pt idx="18">
                  <c:v>-0.6</c:v>
                </c:pt>
                <c:pt idx="19">
                  <c:v>1.2</c:v>
                </c:pt>
                <c:pt idx="20">
                  <c:v>2</c:v>
                </c:pt>
                <c:pt idx="21">
                  <c:v>2</c:v>
                </c:pt>
                <c:pt idx="22">
                  <c:v>3.1</c:v>
                </c:pt>
                <c:pt idx="23">
                  <c:v>3.7</c:v>
                </c:pt>
                <c:pt idx="24">
                  <c:v>2.4</c:v>
                </c:pt>
                <c:pt idx="25">
                  <c:v>2</c:v>
                </c:pt>
                <c:pt idx="26">
                  <c:v>2.5</c:v>
                </c:pt>
                <c:pt idx="27">
                  <c:v>2.2000000000000002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91200"/>
        <c:axId val="183084928"/>
      </c:lineChart>
      <c:dateAx>
        <c:axId val="183064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83083008"/>
        <c:crossesAt val="0"/>
        <c:auto val="1"/>
        <c:lblOffset val="100"/>
        <c:baseTimeUnit val="days"/>
        <c:majorUnit val="1"/>
      </c:dateAx>
      <c:valAx>
        <c:axId val="183083008"/>
        <c:scaling>
          <c:orientation val="minMax"/>
          <c:max val="43"/>
          <c:min val="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83064448"/>
        <c:crosses val="autoZero"/>
        <c:crossBetween val="between"/>
      </c:valAx>
      <c:valAx>
        <c:axId val="183084928"/>
        <c:scaling>
          <c:orientation val="maxMin"/>
          <c:max val="12"/>
          <c:min val="-6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83091200"/>
        <c:crosses val="max"/>
        <c:crossBetween val="between"/>
      </c:valAx>
      <c:dateAx>
        <c:axId val="18309120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83084928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135616"/>
        <c:axId val="184878592"/>
      </c:barChart>
      <c:dateAx>
        <c:axId val="183135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8487859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84878592"/>
        <c:scaling>
          <c:orientation val="minMax"/>
          <c:max val="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8313561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92800"/>
        <c:axId val="186528896"/>
      </c:barChart>
      <c:catAx>
        <c:axId val="184892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86528896"/>
        <c:crosses val="autoZero"/>
        <c:auto val="1"/>
        <c:lblAlgn val="ctr"/>
        <c:lblOffset val="100"/>
        <c:noMultiLvlLbl val="0"/>
      </c:catAx>
      <c:valAx>
        <c:axId val="186528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4892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40800"/>
        <c:axId val="186542336"/>
      </c:barChart>
      <c:catAx>
        <c:axId val="186540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86542336"/>
        <c:crosses val="autoZero"/>
        <c:auto val="1"/>
        <c:lblAlgn val="ctr"/>
        <c:lblOffset val="100"/>
        <c:noMultiLvlLbl val="0"/>
      </c:catAx>
      <c:valAx>
        <c:axId val="186542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6540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50144"/>
        <c:axId val="186551680"/>
      </c:barChart>
      <c:catAx>
        <c:axId val="18655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86551680"/>
        <c:crosses val="autoZero"/>
        <c:auto val="1"/>
        <c:lblAlgn val="ctr"/>
        <c:lblOffset val="100"/>
        <c:noMultiLvlLbl val="0"/>
      </c:catAx>
      <c:valAx>
        <c:axId val="186551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6550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7</xdr:row>
      <xdr:rowOff>381000</xdr:rowOff>
    </xdr:from>
    <xdr:to>
      <xdr:col>9</xdr:col>
      <xdr:colOff>523192</xdr:colOff>
      <xdr:row>15</xdr:row>
      <xdr:rowOff>266257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3581400"/>
          <a:ext cx="5466667" cy="3542857"/>
        </a:xfrm>
        <a:prstGeom prst="rect">
          <a:avLst/>
        </a:prstGeom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185737</xdr:rowOff>
    </xdr:from>
    <xdr:to>
      <xdr:col>2</xdr:col>
      <xdr:colOff>161925</xdr:colOff>
      <xdr:row>31</xdr:row>
      <xdr:rowOff>9524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314326</xdr:colOff>
      <xdr:row>8</xdr:row>
      <xdr:rowOff>80962</xdr:rowOff>
    </xdr:from>
    <xdr:to>
      <xdr:col>4</xdr:col>
      <xdr:colOff>419100</xdr:colOff>
      <xdr:row>13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39</xdr:row>
      <xdr:rowOff>85724</xdr:rowOff>
    </xdr:from>
    <xdr:to>
      <xdr:col>4</xdr:col>
      <xdr:colOff>495300</xdr:colOff>
      <xdr:row>50</xdr:row>
      <xdr:rowOff>38100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238125</xdr:colOff>
      <xdr:row>20</xdr:row>
      <xdr:rowOff>123825</xdr:rowOff>
    </xdr:from>
    <xdr:to>
      <xdr:col>4</xdr:col>
      <xdr:colOff>542925</xdr:colOff>
      <xdr:row>30</xdr:row>
      <xdr:rowOff>138112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1981200</xdr:colOff>
      <xdr:row>5</xdr:row>
      <xdr:rowOff>19050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9525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65747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65747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5</xdr:row>
      <xdr:rowOff>9525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324802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324802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600075</xdr:colOff>
      <xdr:row>5</xdr:row>
      <xdr:rowOff>9525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390525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390525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4</xdr:col>
      <xdr:colOff>600075</xdr:colOff>
      <xdr:row>5</xdr:row>
      <xdr:rowOff>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455295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455295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5</xdr:col>
      <xdr:colOff>600075</xdr:colOff>
      <xdr:row>5</xdr:row>
      <xdr:rowOff>19050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520065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520065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twoCellAnchor>
    <xdr:from>
      <xdr:col>0</xdr:col>
      <xdr:colOff>47625</xdr:colOff>
      <xdr:row>29</xdr:row>
      <xdr:rowOff>73025</xdr:rowOff>
    </xdr:from>
    <xdr:to>
      <xdr:col>6</xdr:col>
      <xdr:colOff>590550</xdr:colOff>
      <xdr:row>50</xdr:row>
      <xdr:rowOff>31750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0.56352</cdr:x>
      <cdr:y>0.94738</cdr:y>
    </cdr:from>
    <cdr:to>
      <cdr:x>0.5719</cdr:x>
      <cdr:y>0.96125</cdr:y>
    </cdr:to>
    <cdr:sp macro="" textlink="">
      <cdr:nvSpPr>
        <cdr:cNvPr id="5" name="Obdélník 4"/>
        <cdr:cNvSpPr/>
      </cdr:nvSpPr>
      <cdr:spPr>
        <a:xfrm xmlns:a="http://schemas.openxmlformats.org/drawingml/2006/main">
          <a:off x="3295650" y="3648621"/>
          <a:ext cx="48996" cy="534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0.56352</cdr:x>
      <cdr:y>0.92828</cdr:y>
    </cdr:from>
    <cdr:to>
      <cdr:x>0.75461</cdr:x>
      <cdr:y>0.9695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263457" y="3516116"/>
          <a:ext cx="1106640" cy="15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Ostatní dodávka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</xdr:row>
      <xdr:rowOff>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5</xdr:row>
      <xdr:rowOff>266700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</xdr:row>
      <xdr:rowOff>266700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0</xdr:rowOff>
    </xdr:from>
    <xdr:to>
      <xdr:col>13</xdr:col>
      <xdr:colOff>589491</xdr:colOff>
      <xdr:row>35</xdr:row>
      <xdr:rowOff>75543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23875"/>
          <a:ext cx="8476191" cy="5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24</xdr:row>
      <xdr:rowOff>200025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123825</xdr:rowOff>
    </xdr:from>
    <xdr:to>
      <xdr:col>3</xdr:col>
      <xdr:colOff>733425</xdr:colOff>
      <xdr:row>29</xdr:row>
      <xdr:rowOff>276225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5991225" cy="867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26</xdr:row>
      <xdr:rowOff>57150</xdr:rowOff>
    </xdr:from>
    <xdr:to>
      <xdr:col>2</xdr:col>
      <xdr:colOff>1902850</xdr:colOff>
      <xdr:row>35</xdr:row>
      <xdr:rowOff>285750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675" y="4829175"/>
          <a:ext cx="2998225" cy="194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BS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/>
          <cell r="E1"/>
          <cell r="F1" t="str">
            <v>Únor</v>
          </cell>
          <cell r="G1"/>
          <cell r="H1"/>
          <cell r="I1" t="str">
            <v>Březen</v>
          </cell>
          <cell r="J1"/>
          <cell r="K1"/>
          <cell r="L1" t="str">
            <v>Duben</v>
          </cell>
          <cell r="M1"/>
          <cell r="N1"/>
          <cell r="O1" t="str">
            <v>Květen</v>
          </cell>
          <cell r="P1"/>
          <cell r="Q1"/>
          <cell r="R1" t="str">
            <v>Červen</v>
          </cell>
          <cell r="S1"/>
          <cell r="T1"/>
          <cell r="U1" t="str">
            <v>Červenec</v>
          </cell>
          <cell r="V1"/>
          <cell r="W1"/>
          <cell r="X1" t="str">
            <v>Srpen</v>
          </cell>
          <cell r="Y1"/>
          <cell r="Z1"/>
          <cell r="AA1" t="str">
            <v>Září</v>
          </cell>
          <cell r="AB1"/>
          <cell r="AC1"/>
          <cell r="AD1" t="str">
            <v>Říjen</v>
          </cell>
          <cell r="AE1"/>
          <cell r="AF1"/>
          <cell r="AG1" t="str">
            <v>Listopad</v>
          </cell>
          <cell r="AH1"/>
          <cell r="AI1"/>
          <cell r="AJ1" t="str">
            <v>Prosinec</v>
          </cell>
          <cell r="AK1"/>
          <cell r="AL1"/>
        </row>
        <row r="13">
          <cell r="C13">
            <v>3284597.7726739408</v>
          </cell>
          <cell r="D13">
            <v>34908877.997999996</v>
          </cell>
          <cell r="E13"/>
          <cell r="F13">
            <v>2481674.016246439</v>
          </cell>
          <cell r="G13">
            <v>26389225.865000002</v>
          </cell>
          <cell r="H13"/>
          <cell r="I13">
            <v>3307686.053381158</v>
          </cell>
          <cell r="J13">
            <v>35181867.898999996</v>
          </cell>
          <cell r="K13"/>
          <cell r="L13">
            <v>0</v>
          </cell>
          <cell r="M13">
            <v>0</v>
          </cell>
          <cell r="N13"/>
          <cell r="O13">
            <v>0</v>
          </cell>
          <cell r="P13">
            <v>0</v>
          </cell>
          <cell r="Q13"/>
          <cell r="R13">
            <v>0</v>
          </cell>
          <cell r="S13">
            <v>0</v>
          </cell>
          <cell r="T13"/>
          <cell r="U13">
            <v>0</v>
          </cell>
          <cell r="V13">
            <v>0</v>
          </cell>
          <cell r="W13"/>
          <cell r="X13">
            <v>0</v>
          </cell>
          <cell r="Y13">
            <v>0</v>
          </cell>
          <cell r="Z13"/>
          <cell r="AA13">
            <v>0</v>
          </cell>
          <cell r="AB13">
            <v>0</v>
          </cell>
          <cell r="AC13"/>
          <cell r="AD13">
            <v>0</v>
          </cell>
          <cell r="AE13">
            <v>0</v>
          </cell>
          <cell r="AF13"/>
          <cell r="AG13">
            <v>0</v>
          </cell>
          <cell r="AH13">
            <v>0</v>
          </cell>
          <cell r="AI13"/>
          <cell r="AJ13">
            <v>0</v>
          </cell>
          <cell r="AK13">
            <v>0</v>
          </cell>
          <cell r="AL13"/>
        </row>
        <row r="22">
          <cell r="C22">
            <v>2846183.9375417819</v>
          </cell>
          <cell r="D22">
            <v>30277699.544</v>
          </cell>
          <cell r="E22"/>
          <cell r="F22">
            <v>2213891.0476241913</v>
          </cell>
          <cell r="G22">
            <v>23561182.171999998</v>
          </cell>
          <cell r="H22"/>
          <cell r="I22">
            <v>2973257.2703896565</v>
          </cell>
          <cell r="J22">
            <v>31637112.546</v>
          </cell>
          <cell r="K22"/>
          <cell r="L22">
            <v>0</v>
          </cell>
          <cell r="M22">
            <v>0</v>
          </cell>
          <cell r="N22"/>
          <cell r="O22">
            <v>0</v>
          </cell>
          <cell r="P22">
            <v>0</v>
          </cell>
          <cell r="Q22"/>
          <cell r="R22">
            <v>0</v>
          </cell>
          <cell r="S22">
            <v>0</v>
          </cell>
          <cell r="T22"/>
          <cell r="U22">
            <v>0</v>
          </cell>
          <cell r="V22">
            <v>0</v>
          </cell>
          <cell r="W22"/>
          <cell r="X22">
            <v>0</v>
          </cell>
          <cell r="Y22">
            <v>0</v>
          </cell>
          <cell r="Z22"/>
          <cell r="AA22">
            <v>0</v>
          </cell>
          <cell r="AB22">
            <v>0</v>
          </cell>
          <cell r="AC22"/>
          <cell r="AD22">
            <v>0</v>
          </cell>
          <cell r="AE22">
            <v>0</v>
          </cell>
          <cell r="AF22"/>
          <cell r="AG22">
            <v>0</v>
          </cell>
          <cell r="AH22">
            <v>0</v>
          </cell>
          <cell r="AI22"/>
          <cell r="AJ22">
            <v>0</v>
          </cell>
          <cell r="AK22">
            <v>0</v>
          </cell>
          <cell r="AL22"/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</row>
        <row r="41">
          <cell r="C41">
            <v>663076.31099999999</v>
          </cell>
          <cell r="D41">
            <v>7059919.2450000001</v>
          </cell>
          <cell r="E41"/>
          <cell r="F41">
            <v>730844.38199999998</v>
          </cell>
          <cell r="G41">
            <v>7781463.9450000003</v>
          </cell>
          <cell r="H41"/>
          <cell r="I41">
            <v>531262.70799999998</v>
          </cell>
          <cell r="J41">
            <v>5653080.3719999995</v>
          </cell>
          <cell r="K41"/>
          <cell r="L41">
            <v>0</v>
          </cell>
          <cell r="M41">
            <v>0</v>
          </cell>
          <cell r="N41"/>
          <cell r="O41">
            <v>0</v>
          </cell>
          <cell r="P41">
            <v>0</v>
          </cell>
          <cell r="Q41"/>
          <cell r="R41">
            <v>0</v>
          </cell>
          <cell r="S41">
            <v>0</v>
          </cell>
          <cell r="T41"/>
          <cell r="U41">
            <v>0</v>
          </cell>
          <cell r="V41">
            <v>0</v>
          </cell>
          <cell r="W41"/>
          <cell r="X41">
            <v>0</v>
          </cell>
          <cell r="Y41">
            <v>0</v>
          </cell>
          <cell r="Z41"/>
          <cell r="AA41">
            <v>0</v>
          </cell>
          <cell r="AB41">
            <v>0</v>
          </cell>
          <cell r="AC41"/>
          <cell r="AD41">
            <v>0</v>
          </cell>
          <cell r="AE41">
            <v>0</v>
          </cell>
          <cell r="AF41"/>
          <cell r="AG41">
            <v>0</v>
          </cell>
          <cell r="AH41">
            <v>0</v>
          </cell>
          <cell r="AI41"/>
          <cell r="AJ41">
            <v>0</v>
          </cell>
          <cell r="AK41">
            <v>0</v>
          </cell>
          <cell r="AL41"/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</row>
        <row r="45">
          <cell r="C45">
            <v>16494.134999999998</v>
          </cell>
          <cell r="D45">
            <v>175246.745</v>
          </cell>
          <cell r="E45"/>
          <cell r="F45">
            <v>9555.2060000000001</v>
          </cell>
          <cell r="G45">
            <v>101322.443</v>
          </cell>
          <cell r="H45"/>
          <cell r="I45">
            <v>9037.5149999999994</v>
          </cell>
          <cell r="J45">
            <v>95956.741000000009</v>
          </cell>
          <cell r="K45"/>
          <cell r="L45">
            <v>0</v>
          </cell>
          <cell r="M45">
            <v>0</v>
          </cell>
          <cell r="N45"/>
          <cell r="O45">
            <v>0</v>
          </cell>
          <cell r="P45">
            <v>0</v>
          </cell>
          <cell r="Q45"/>
          <cell r="R45">
            <v>0</v>
          </cell>
          <cell r="S45">
            <v>0</v>
          </cell>
          <cell r="T45"/>
          <cell r="U45">
            <v>0</v>
          </cell>
          <cell r="V45">
            <v>0</v>
          </cell>
          <cell r="W45"/>
          <cell r="X45">
            <v>0</v>
          </cell>
          <cell r="Y45">
            <v>0</v>
          </cell>
          <cell r="Z45"/>
          <cell r="AA45">
            <v>0</v>
          </cell>
          <cell r="AB45">
            <v>0</v>
          </cell>
          <cell r="AC45"/>
          <cell r="AD45">
            <v>0</v>
          </cell>
          <cell r="AE45">
            <v>0</v>
          </cell>
          <cell r="AF45"/>
          <cell r="AG45">
            <v>0</v>
          </cell>
          <cell r="AH45">
            <v>0</v>
          </cell>
          <cell r="AI45"/>
          <cell r="AJ45">
            <v>0</v>
          </cell>
          <cell r="AK45">
            <v>0</v>
          </cell>
          <cell r="AL45"/>
        </row>
        <row r="49">
          <cell r="C49">
            <v>18117.960132158838</v>
          </cell>
          <cell r="D49">
            <v>179509.49799999513</v>
          </cell>
          <cell r="E49"/>
          <cell r="F49">
            <v>12684.402622247586</v>
          </cell>
          <cell r="G49">
            <v>129101.78000000303</v>
          </cell>
          <cell r="H49"/>
          <cell r="I49">
            <v>6013.9529915014427</v>
          </cell>
          <cell r="J49">
            <v>61052.843999995297</v>
          </cell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B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 (BSD)"/>
      <sheetName val="Podklady MZ"/>
      <sheetName val="List2"/>
      <sheetName val="List3"/>
    </sheetNames>
    <sheetDataSet>
      <sheetData sheetId="0">
        <row r="8">
          <cell r="C8">
            <v>42199</v>
          </cell>
          <cell r="D8">
            <v>930011</v>
          </cell>
          <cell r="E8">
            <v>870305</v>
          </cell>
          <cell r="F8">
            <v>444089.5</v>
          </cell>
          <cell r="G8">
            <v>9797222.9010298513</v>
          </cell>
          <cell r="H8">
            <v>9161150</v>
          </cell>
          <cell r="K8"/>
          <cell r="L8"/>
          <cell r="M8"/>
        </row>
        <row r="9">
          <cell r="C9">
            <v>-1</v>
          </cell>
          <cell r="D9">
            <v>5.3</v>
          </cell>
          <cell r="E9">
            <v>8.1</v>
          </cell>
          <cell r="F9">
            <v>-1</v>
          </cell>
          <cell r="G9">
            <v>5.3</v>
          </cell>
          <cell r="H9">
            <v>8.1</v>
          </cell>
          <cell r="M9"/>
        </row>
        <row r="10">
          <cell r="C10">
            <v>35732</v>
          </cell>
          <cell r="D10" t="str">
            <v>2003</v>
          </cell>
          <cell r="E10" t="str">
            <v>2002</v>
          </cell>
          <cell r="F10">
            <v>35732</v>
          </cell>
          <cell r="G10" t="str">
            <v>2003</v>
          </cell>
          <cell r="H10" t="str">
            <v>2002</v>
          </cell>
        </row>
        <row r="11">
          <cell r="C11"/>
          <cell r="D11"/>
          <cell r="E11"/>
          <cell r="F11"/>
          <cell r="G11"/>
          <cell r="H11"/>
        </row>
        <row r="12">
          <cell r="C12"/>
          <cell r="D12"/>
          <cell r="E12"/>
          <cell r="F12"/>
          <cell r="G12"/>
          <cell r="H12"/>
        </row>
        <row r="13">
          <cell r="C13">
            <v>51410</v>
          </cell>
          <cell r="D13">
            <v>1228904</v>
          </cell>
          <cell r="E13">
            <v>1116201</v>
          </cell>
          <cell r="F13">
            <v>541586.26810961775</v>
          </cell>
          <cell r="G13">
            <v>12946029.272124285</v>
          </cell>
          <cell r="H13">
            <v>11750102</v>
          </cell>
          <cell r="K13"/>
          <cell r="L13"/>
          <cell r="M13"/>
        </row>
        <row r="14">
          <cell r="C14">
            <v>-6.9</v>
          </cell>
          <cell r="D14">
            <v>0.3</v>
          </cell>
          <cell r="E14">
            <v>2.8</v>
          </cell>
          <cell r="F14">
            <v>-6.9</v>
          </cell>
          <cell r="G14">
            <v>0.3</v>
          </cell>
          <cell r="H14">
            <v>2.8</v>
          </cell>
        </row>
        <row r="15">
          <cell r="C15">
            <v>36121</v>
          </cell>
          <cell r="D15" t="str">
            <v>1998</v>
          </cell>
          <cell r="E15" t="str">
            <v>2002</v>
          </cell>
          <cell r="F15">
            <v>36121</v>
          </cell>
          <cell r="G15" t="str">
            <v>1998</v>
          </cell>
          <cell r="H15" t="str">
            <v>2002</v>
          </cell>
        </row>
        <row r="16">
          <cell r="C16"/>
          <cell r="D16"/>
          <cell r="E16"/>
          <cell r="F16"/>
          <cell r="G16"/>
          <cell r="H16"/>
        </row>
        <row r="17">
          <cell r="C17"/>
          <cell r="D17"/>
          <cell r="E17"/>
          <cell r="F17"/>
          <cell r="G17"/>
          <cell r="H17"/>
        </row>
        <row r="18">
          <cell r="C18">
            <v>62313</v>
          </cell>
          <cell r="D18">
            <v>1510499</v>
          </cell>
          <cell r="E18">
            <v>1398208</v>
          </cell>
          <cell r="F18">
            <v>657286.5</v>
          </cell>
          <cell r="G18">
            <v>15890250</v>
          </cell>
          <cell r="H18">
            <v>14711098</v>
          </cell>
          <cell r="K18"/>
          <cell r="L18"/>
          <cell r="M18"/>
        </row>
        <row r="19">
          <cell r="C19">
            <v>-9.4</v>
          </cell>
          <cell r="D19">
            <v>-3.4</v>
          </cell>
          <cell r="E19">
            <v>-0.2</v>
          </cell>
          <cell r="F19">
            <v>-9.4</v>
          </cell>
          <cell r="G19">
            <v>-3.4</v>
          </cell>
          <cell r="H19">
            <v>-0.2</v>
          </cell>
        </row>
        <row r="20">
          <cell r="C20">
            <v>37600</v>
          </cell>
          <cell r="D20" t="str">
            <v>2001</v>
          </cell>
          <cell r="E20" t="str">
            <v>2001</v>
          </cell>
          <cell r="F20">
            <v>37600</v>
          </cell>
          <cell r="G20" t="str">
            <v>2001</v>
          </cell>
          <cell r="H20" t="str">
            <v>2001</v>
          </cell>
        </row>
        <row r="21">
          <cell r="C21"/>
          <cell r="D21"/>
          <cell r="E21"/>
          <cell r="F21"/>
          <cell r="G21"/>
          <cell r="H21"/>
        </row>
        <row r="22">
          <cell r="C22"/>
          <cell r="D22"/>
          <cell r="E22"/>
          <cell r="F22"/>
          <cell r="G22"/>
          <cell r="H22"/>
        </row>
        <row r="23">
          <cell r="C23">
            <v>67639</v>
          </cell>
          <cell r="D23">
            <v>1639505</v>
          </cell>
          <cell r="E23">
            <v>1529902</v>
          </cell>
          <cell r="F23">
            <v>713280.13032127218</v>
          </cell>
          <cell r="G23">
            <v>17291700</v>
          </cell>
          <cell r="H23">
            <v>16093950</v>
          </cell>
          <cell r="K23"/>
          <cell r="L23"/>
          <cell r="M23"/>
        </row>
        <row r="24">
          <cell r="C24">
            <v>-16.899999999999999</v>
          </cell>
          <cell r="D24">
            <v>-6</v>
          </cell>
          <cell r="E24">
            <v>-1.7</v>
          </cell>
          <cell r="F24">
            <v>-16.899999999999999</v>
          </cell>
          <cell r="G24">
            <v>-6</v>
          </cell>
          <cell r="H24">
            <v>-1.7</v>
          </cell>
        </row>
        <row r="25">
          <cell r="C25">
            <v>38740</v>
          </cell>
          <cell r="D25" t="str">
            <v>2006</v>
          </cell>
          <cell r="E25" t="str">
            <v>2002</v>
          </cell>
          <cell r="F25">
            <v>38740</v>
          </cell>
          <cell r="G25" t="str">
            <v>2006</v>
          </cell>
          <cell r="H25" t="str">
            <v>2002</v>
          </cell>
        </row>
        <row r="26">
          <cell r="C26"/>
          <cell r="D26"/>
          <cell r="E26"/>
          <cell r="F26"/>
          <cell r="G26"/>
          <cell r="H26"/>
        </row>
        <row r="27">
          <cell r="C27"/>
          <cell r="D27"/>
          <cell r="E27"/>
          <cell r="F27"/>
          <cell r="G27"/>
          <cell r="H27"/>
        </row>
        <row r="28">
          <cell r="C28">
            <v>61632</v>
          </cell>
          <cell r="D28">
            <v>1406898</v>
          </cell>
          <cell r="E28">
            <v>1299197</v>
          </cell>
          <cell r="F28">
            <v>651503</v>
          </cell>
          <cell r="G28">
            <v>14821196.666084835</v>
          </cell>
          <cell r="H28">
            <v>13686615.046255894</v>
          </cell>
          <cell r="K28"/>
          <cell r="L28"/>
          <cell r="M28"/>
        </row>
        <row r="29">
          <cell r="C29">
            <v>-14.1</v>
          </cell>
          <cell r="D29">
            <v>-4.0999999999999996</v>
          </cell>
          <cell r="E29">
            <v>-0.5</v>
          </cell>
          <cell r="F29">
            <v>-14.1</v>
          </cell>
          <cell r="G29">
            <v>-4.0999999999999996</v>
          </cell>
          <cell r="H29">
            <v>-0.5</v>
          </cell>
        </row>
        <row r="30">
          <cell r="C30">
            <v>40945</v>
          </cell>
          <cell r="D30" t="str">
            <v>2003</v>
          </cell>
          <cell r="E30" t="str">
            <v>2003</v>
          </cell>
          <cell r="F30">
            <v>40945</v>
          </cell>
          <cell r="G30" t="str">
            <v>2003</v>
          </cell>
          <cell r="H30" t="str">
            <v>2003</v>
          </cell>
        </row>
        <row r="31">
          <cell r="C31"/>
          <cell r="D31"/>
          <cell r="E31"/>
          <cell r="F31"/>
          <cell r="G31"/>
          <cell r="H31"/>
        </row>
        <row r="32">
          <cell r="C32"/>
          <cell r="D32"/>
          <cell r="E32"/>
          <cell r="F32"/>
          <cell r="G32"/>
          <cell r="H32"/>
        </row>
        <row r="33">
          <cell r="C33">
            <v>56267</v>
          </cell>
          <cell r="D33">
            <v>1237897</v>
          </cell>
          <cell r="E33">
            <v>1188704</v>
          </cell>
          <cell r="F33">
            <v>593275.9341615428</v>
          </cell>
          <cell r="G33">
            <v>13047696</v>
          </cell>
          <cell r="H33">
            <v>12511350</v>
          </cell>
          <cell r="K33"/>
          <cell r="L33"/>
          <cell r="M33"/>
        </row>
        <row r="34">
          <cell r="C34">
            <v>-8.8000000000000007</v>
          </cell>
          <cell r="D34">
            <v>0.4</v>
          </cell>
          <cell r="E34">
            <v>3.3</v>
          </cell>
          <cell r="F34">
            <v>-8.8000000000000007</v>
          </cell>
          <cell r="G34">
            <v>0.4</v>
          </cell>
          <cell r="H34">
            <v>3.3</v>
          </cell>
        </row>
        <row r="35">
          <cell r="C35">
            <v>38412</v>
          </cell>
          <cell r="D35" t="str">
            <v>2006</v>
          </cell>
          <cell r="E35" t="str">
            <v>2000</v>
          </cell>
          <cell r="F35">
            <v>38412</v>
          </cell>
          <cell r="G35" t="str">
            <v>2006</v>
          </cell>
          <cell r="H35" t="str">
            <v>2000</v>
          </cell>
        </row>
      </sheetData>
      <sheetData sheetId="1">
        <row r="8">
          <cell r="D8">
            <v>228</v>
          </cell>
          <cell r="E8"/>
          <cell r="F8">
            <v>228</v>
          </cell>
          <cell r="G8"/>
          <cell r="H8"/>
          <cell r="I8"/>
          <cell r="U8"/>
          <cell r="V8"/>
          <cell r="W8"/>
          <cell r="X8"/>
          <cell r="Y8"/>
          <cell r="Z8"/>
          <cell r="AA8"/>
        </row>
        <row r="13">
          <cell r="D13">
            <v>63</v>
          </cell>
          <cell r="E13">
            <v>79</v>
          </cell>
          <cell r="F13">
            <v>63</v>
          </cell>
          <cell r="G13">
            <v>82</v>
          </cell>
          <cell r="H13"/>
          <cell r="I13"/>
          <cell r="U13"/>
          <cell r="V13"/>
          <cell r="W13"/>
          <cell r="X13"/>
          <cell r="Y13"/>
          <cell r="Z13"/>
          <cell r="AA13"/>
        </row>
        <row r="14">
          <cell r="D14">
            <v>20</v>
          </cell>
          <cell r="E14">
            <v>84</v>
          </cell>
          <cell r="F14">
            <v>20</v>
          </cell>
          <cell r="G14">
            <v>77</v>
          </cell>
          <cell r="H14"/>
          <cell r="I14"/>
          <cell r="U14"/>
          <cell r="V14"/>
          <cell r="W14"/>
          <cell r="X14"/>
          <cell r="Y14"/>
          <cell r="Z14"/>
          <cell r="AA14"/>
        </row>
        <row r="15">
          <cell r="D15">
            <v>6</v>
          </cell>
          <cell r="E15">
            <v>14</v>
          </cell>
          <cell r="F15">
            <v>6</v>
          </cell>
          <cell r="G15">
            <v>14</v>
          </cell>
          <cell r="H15"/>
          <cell r="I15"/>
          <cell r="U15"/>
          <cell r="V15"/>
          <cell r="W15"/>
          <cell r="X15"/>
          <cell r="Y15"/>
          <cell r="Z15"/>
          <cell r="AA15"/>
        </row>
        <row r="16">
          <cell r="D16">
            <v>14</v>
          </cell>
          <cell r="E16">
            <v>17</v>
          </cell>
          <cell r="F16">
            <v>13</v>
          </cell>
          <cell r="G16">
            <v>16</v>
          </cell>
          <cell r="H16"/>
          <cell r="I16"/>
          <cell r="U16"/>
          <cell r="V16"/>
          <cell r="W16"/>
          <cell r="X16"/>
          <cell r="Y16"/>
          <cell r="Z16"/>
          <cell r="AA16"/>
        </row>
        <row r="17">
          <cell r="D17">
            <v>103</v>
          </cell>
          <cell r="E17">
            <v>194</v>
          </cell>
          <cell r="F17">
            <v>102</v>
          </cell>
          <cell r="G17">
            <v>189</v>
          </cell>
          <cell r="H17">
            <v>0</v>
          </cell>
          <cell r="I17">
            <v>0</v>
          </cell>
          <cell r="U17"/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D18"/>
          <cell r="E18"/>
          <cell r="F18"/>
          <cell r="G18"/>
          <cell r="H18"/>
          <cell r="I18"/>
          <cell r="U18"/>
          <cell r="V18"/>
          <cell r="W18"/>
          <cell r="X18"/>
          <cell r="Y18"/>
          <cell r="Z18"/>
          <cell r="AA18"/>
        </row>
        <row r="19">
          <cell r="D19"/>
          <cell r="E19"/>
          <cell r="F19"/>
          <cell r="G19"/>
          <cell r="H19"/>
          <cell r="I19"/>
          <cell r="U19"/>
          <cell r="V19"/>
          <cell r="W19"/>
          <cell r="X19"/>
          <cell r="Y19"/>
          <cell r="Z19"/>
          <cell r="AA19"/>
        </row>
        <row r="22">
          <cell r="D22">
            <v>14</v>
          </cell>
          <cell r="E22">
            <v>18</v>
          </cell>
          <cell r="F22">
            <v>13</v>
          </cell>
          <cell r="G22">
            <v>16</v>
          </cell>
          <cell r="H22"/>
          <cell r="I22"/>
          <cell r="U22"/>
          <cell r="V22"/>
          <cell r="W22"/>
          <cell r="X22"/>
          <cell r="Y22"/>
          <cell r="Z22"/>
          <cell r="AA22"/>
        </row>
        <row r="23">
          <cell r="D23">
            <v>4</v>
          </cell>
          <cell r="E23">
            <v>4</v>
          </cell>
          <cell r="F23">
            <v>4</v>
          </cell>
          <cell r="G23">
            <v>4</v>
          </cell>
          <cell r="H23"/>
          <cell r="I23"/>
          <cell r="U23"/>
          <cell r="V23"/>
          <cell r="W23"/>
          <cell r="X23"/>
          <cell r="Y23"/>
          <cell r="Z23"/>
          <cell r="AA23"/>
        </row>
        <row r="24">
          <cell r="D24">
            <v>17</v>
          </cell>
          <cell r="E24">
            <v>59</v>
          </cell>
          <cell r="F24">
            <v>17</v>
          </cell>
          <cell r="G24">
            <v>55</v>
          </cell>
          <cell r="H24"/>
          <cell r="I24"/>
          <cell r="U24"/>
          <cell r="V24"/>
          <cell r="W24"/>
          <cell r="X24"/>
          <cell r="Y24"/>
          <cell r="Z24"/>
          <cell r="AA24"/>
        </row>
        <row r="25">
          <cell r="D25">
            <v>3</v>
          </cell>
          <cell r="E25">
            <v>5</v>
          </cell>
          <cell r="F25">
            <v>3</v>
          </cell>
          <cell r="G25">
            <v>5</v>
          </cell>
          <cell r="H25"/>
          <cell r="I25"/>
          <cell r="U25"/>
          <cell r="V25"/>
          <cell r="W25"/>
          <cell r="X25"/>
          <cell r="Y25"/>
          <cell r="Z25"/>
          <cell r="AA25"/>
        </row>
        <row r="26">
          <cell r="D26">
            <v>2</v>
          </cell>
          <cell r="E26">
            <v>5</v>
          </cell>
          <cell r="F26">
            <v>2</v>
          </cell>
          <cell r="G26">
            <v>5</v>
          </cell>
          <cell r="H26"/>
          <cell r="I26"/>
          <cell r="U26"/>
          <cell r="V26"/>
          <cell r="W26"/>
          <cell r="X26"/>
          <cell r="Y26"/>
          <cell r="Z26"/>
          <cell r="AA26"/>
        </row>
        <row r="27">
          <cell r="D27">
            <v>86</v>
          </cell>
          <cell r="E27">
            <v>101</v>
          </cell>
          <cell r="F27">
            <v>84</v>
          </cell>
          <cell r="G27">
            <v>100</v>
          </cell>
          <cell r="H27"/>
          <cell r="I27"/>
          <cell r="U27"/>
          <cell r="V27"/>
          <cell r="W27"/>
          <cell r="X27"/>
          <cell r="Y27"/>
          <cell r="Z27"/>
          <cell r="AA27"/>
        </row>
        <row r="28">
          <cell r="K28"/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>
            <v>10</v>
          </cell>
          <cell r="C31">
            <v>10</v>
          </cell>
          <cell r="D31">
            <v>11</v>
          </cell>
          <cell r="E31">
            <v>11</v>
          </cell>
          <cell r="F31">
            <v>12</v>
          </cell>
          <cell r="G31">
            <v>12</v>
          </cell>
          <cell r="H31">
            <v>1</v>
          </cell>
          <cell r="I31">
            <v>1</v>
          </cell>
          <cell r="J31">
            <v>2</v>
          </cell>
          <cell r="K31">
            <v>2</v>
          </cell>
          <cell r="L31">
            <v>3</v>
          </cell>
          <cell r="M31">
            <v>3</v>
          </cell>
        </row>
        <row r="32">
          <cell r="B32" t="str">
            <v>Říjen 2014</v>
          </cell>
          <cell r="C32"/>
          <cell r="D32" t="str">
            <v>Listopad 2014</v>
          </cell>
          <cell r="E32"/>
          <cell r="F32" t="str">
            <v>Prosinec 2014</v>
          </cell>
          <cell r="G32"/>
          <cell r="H32" t="str">
            <v>Leden 2015</v>
          </cell>
          <cell r="I32"/>
          <cell r="J32" t="str">
            <v>Únor 2015</v>
          </cell>
          <cell r="K32"/>
          <cell r="L32" t="str">
            <v>Březen 2015</v>
          </cell>
          <cell r="M32"/>
          <cell r="N32" t="str">
            <v>Říjen 2015</v>
          </cell>
          <cell r="O32"/>
          <cell r="P32" t="str">
            <v>Listopad 2015</v>
          </cell>
          <cell r="Q32"/>
          <cell r="R32" t="str">
            <v>Prosinec 2015</v>
          </cell>
          <cell r="S32"/>
        </row>
        <row r="34">
          <cell r="C34">
            <v>201537.08456494517</v>
          </cell>
          <cell r="D34"/>
          <cell r="E34">
            <v>353340.67618929798</v>
          </cell>
          <cell r="F34"/>
          <cell r="G34">
            <v>454756.65230719704</v>
          </cell>
          <cell r="H34"/>
          <cell r="I34">
            <v>497013.03114573855</v>
          </cell>
          <cell r="J34"/>
          <cell r="K34">
            <v>458168.54449820874</v>
          </cell>
          <cell r="L34"/>
          <cell r="M34"/>
          <cell r="N34"/>
          <cell r="O34"/>
          <cell r="P34"/>
          <cell r="Q34"/>
          <cell r="R34"/>
          <cell r="S34"/>
        </row>
        <row r="35">
          <cell r="C35">
            <v>4500263.1951591801</v>
          </cell>
          <cell r="D35"/>
          <cell r="E35">
            <v>7895253.5829491531</v>
          </cell>
          <cell r="F35"/>
          <cell r="G35">
            <v>10153893.3678663</v>
          </cell>
          <cell r="H35"/>
          <cell r="I35">
            <v>11218049.872977158</v>
          </cell>
          <cell r="J35"/>
          <cell r="K35">
            <v>10136444.253704594</v>
          </cell>
          <cell r="L35"/>
          <cell r="M35"/>
          <cell r="N35"/>
          <cell r="O35"/>
          <cell r="P35"/>
          <cell r="Q35"/>
          <cell r="R35"/>
          <cell r="S35"/>
        </row>
        <row r="36">
          <cell r="C36">
            <v>3307273.8298015152</v>
          </cell>
          <cell r="D36"/>
          <cell r="E36">
            <v>5801654.7214514585</v>
          </cell>
          <cell r="F36"/>
          <cell r="G36">
            <v>7460221.8516951464</v>
          </cell>
          <cell r="H36"/>
          <cell r="I36">
            <v>8266548.7906299084</v>
          </cell>
          <cell r="J36"/>
          <cell r="K36">
            <v>7449233.5988431834</v>
          </cell>
          <cell r="L36"/>
          <cell r="M36"/>
          <cell r="N36"/>
          <cell r="O36"/>
          <cell r="P36"/>
          <cell r="Q36"/>
          <cell r="R36"/>
          <cell r="S36"/>
        </row>
        <row r="39">
          <cell r="C39">
            <v>3223845.8243034361</v>
          </cell>
          <cell r="D39"/>
          <cell r="E39">
            <v>5136497.577897341</v>
          </cell>
          <cell r="F39"/>
          <cell r="G39">
            <v>7190248.3487807373</v>
          </cell>
          <cell r="H39"/>
          <cell r="I39">
            <v>7573215.4897074569</v>
          </cell>
          <cell r="J39"/>
          <cell r="K39">
            <v>6842368.6282315105</v>
          </cell>
          <cell r="L39"/>
          <cell r="M39"/>
          <cell r="N39"/>
          <cell r="O39"/>
          <cell r="P39"/>
          <cell r="Q39"/>
          <cell r="R39"/>
          <cell r="S39"/>
        </row>
        <row r="40">
          <cell r="C40">
            <v>107461.52747678121</v>
          </cell>
          <cell r="D40"/>
          <cell r="E40">
            <v>171216.58592991138</v>
          </cell>
          <cell r="F40"/>
          <cell r="G40">
            <v>239674.9449593579</v>
          </cell>
          <cell r="H40"/>
          <cell r="I40">
            <v>252440.51632358189</v>
          </cell>
          <cell r="J40"/>
          <cell r="K40">
            <v>228078.95427438369</v>
          </cell>
          <cell r="L40"/>
          <cell r="M40"/>
          <cell r="N40"/>
          <cell r="O40"/>
          <cell r="P40"/>
          <cell r="Q40"/>
          <cell r="R40"/>
          <cell r="S40"/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/>
      <sheetData sheetId="2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0</v>
          </cell>
          <cell r="L31">
            <v>0</v>
          </cell>
          <cell r="O31">
            <v>0</v>
          </cell>
          <cell r="P31">
            <v>0</v>
          </cell>
          <cell r="S31">
            <v>0</v>
          </cell>
          <cell r="T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0</v>
          </cell>
          <cell r="AF31">
            <v>0</v>
          </cell>
          <cell r="AI31">
            <v>0</v>
          </cell>
          <cell r="AJ31">
            <v>0</v>
          </cell>
          <cell r="AM31">
            <v>0</v>
          </cell>
          <cell r="AN31">
            <v>0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486.01605068220653</v>
          </cell>
          <cell r="AZ31">
            <v>5102.9223590000001</v>
          </cell>
        </row>
      </sheetData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54.130736981100839</v>
          </cell>
          <cell r="AN32">
            <v>575.7193029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10</v>
          </cell>
          <cell r="I63">
            <v>6153.59</v>
          </cell>
          <cell r="J63">
            <v>65462.076000000001</v>
          </cell>
          <cell r="K63">
            <v>10</v>
          </cell>
          <cell r="L63">
            <v>0</v>
          </cell>
          <cell r="M63">
            <v>0</v>
          </cell>
          <cell r="N63">
            <v>10</v>
          </cell>
          <cell r="O63">
            <v>0</v>
          </cell>
          <cell r="P63">
            <v>0</v>
          </cell>
          <cell r="Q63">
            <v>10</v>
          </cell>
          <cell r="R63">
            <v>0</v>
          </cell>
          <cell r="S63">
            <v>0</v>
          </cell>
          <cell r="T63">
            <v>10</v>
          </cell>
          <cell r="U63">
            <v>0</v>
          </cell>
          <cell r="V63">
            <v>0</v>
          </cell>
          <cell r="W63">
            <v>10</v>
          </cell>
          <cell r="X63">
            <v>0</v>
          </cell>
          <cell r="Y63">
            <v>0</v>
          </cell>
          <cell r="Z63">
            <v>10</v>
          </cell>
          <cell r="AA63">
            <v>0</v>
          </cell>
          <cell r="AB63">
            <v>0</v>
          </cell>
          <cell r="AC63">
            <v>10</v>
          </cell>
          <cell r="AD63">
            <v>0</v>
          </cell>
          <cell r="AE63">
            <v>0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</v>
          </cell>
          <cell r="I69">
            <v>0.876</v>
          </cell>
          <cell r="J69">
            <v>9.2880000000000003</v>
          </cell>
          <cell r="K69">
            <v>1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0</v>
          </cell>
          <cell r="M26">
            <v>0</v>
          </cell>
          <cell r="N26">
            <v>11</v>
          </cell>
          <cell r="O26">
            <v>0</v>
          </cell>
          <cell r="P26">
            <v>0</v>
          </cell>
          <cell r="Q26">
            <v>11</v>
          </cell>
          <cell r="R26">
            <v>0</v>
          </cell>
          <cell r="S26">
            <v>0</v>
          </cell>
          <cell r="T26">
            <v>11</v>
          </cell>
          <cell r="U26">
            <v>0</v>
          </cell>
          <cell r="V26">
            <v>0</v>
          </cell>
          <cell r="W26">
            <v>11</v>
          </cell>
          <cell r="X26">
            <v>0</v>
          </cell>
          <cell r="Y26">
            <v>0</v>
          </cell>
          <cell r="Z26">
            <v>11</v>
          </cell>
          <cell r="AA26">
            <v>0</v>
          </cell>
          <cell r="AB26">
            <v>0</v>
          </cell>
          <cell r="AC26">
            <v>11</v>
          </cell>
          <cell r="AD26">
            <v>0</v>
          </cell>
          <cell r="AE26">
            <v>0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11</v>
          </cell>
          <cell r="I36">
            <v>6154.4660000000003</v>
          </cell>
          <cell r="J36">
            <v>65471.364000000001</v>
          </cell>
          <cell r="K36">
            <v>11</v>
          </cell>
          <cell r="L36">
            <v>0</v>
          </cell>
          <cell r="M36">
            <v>0</v>
          </cell>
          <cell r="N36">
            <v>11</v>
          </cell>
          <cell r="O36">
            <v>0</v>
          </cell>
          <cell r="P36">
            <v>0</v>
          </cell>
          <cell r="Q36">
            <v>11</v>
          </cell>
          <cell r="R36">
            <v>0</v>
          </cell>
          <cell r="S36">
            <v>0</v>
          </cell>
          <cell r="T36">
            <v>11</v>
          </cell>
          <cell r="U36">
            <v>0</v>
          </cell>
          <cell r="V36">
            <v>0</v>
          </cell>
          <cell r="W36">
            <v>11</v>
          </cell>
          <cell r="X36">
            <v>0</v>
          </cell>
          <cell r="Y36">
            <v>0</v>
          </cell>
          <cell r="Z36">
            <v>11</v>
          </cell>
          <cell r="AA36">
            <v>0</v>
          </cell>
          <cell r="AB36">
            <v>0</v>
          </cell>
          <cell r="AC36">
            <v>11</v>
          </cell>
          <cell r="AD36">
            <v>0</v>
          </cell>
          <cell r="AE36">
            <v>0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0</v>
          </cell>
          <cell r="M56">
            <v>0</v>
          </cell>
          <cell r="N56">
            <v>11</v>
          </cell>
          <cell r="O56">
            <v>0</v>
          </cell>
          <cell r="P56">
            <v>0</v>
          </cell>
          <cell r="Q56">
            <v>11</v>
          </cell>
          <cell r="R56">
            <v>0</v>
          </cell>
          <cell r="S56">
            <v>0</v>
          </cell>
          <cell r="T56">
            <v>11</v>
          </cell>
          <cell r="U56">
            <v>0</v>
          </cell>
          <cell r="V56">
            <v>0</v>
          </cell>
          <cell r="W56">
            <v>11</v>
          </cell>
          <cell r="X56">
            <v>0</v>
          </cell>
          <cell r="Y56">
            <v>0</v>
          </cell>
          <cell r="Z56">
            <v>11</v>
          </cell>
          <cell r="AA56">
            <v>0</v>
          </cell>
          <cell r="AB56">
            <v>0</v>
          </cell>
          <cell r="AC56">
            <v>11</v>
          </cell>
          <cell r="AD56">
            <v>0</v>
          </cell>
          <cell r="AE56">
            <v>0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E1" t="str">
            <v>Únor</v>
          </cell>
          <cell r="G1" t="str">
            <v>Březen</v>
          </cell>
          <cell r="I1" t="str">
            <v>Duben</v>
          </cell>
          <cell r="K1" t="str">
            <v>Květen</v>
          </cell>
          <cell r="M1" t="str">
            <v>Červen</v>
          </cell>
          <cell r="O1" t="str">
            <v>Červenec</v>
          </cell>
          <cell r="Q1" t="str">
            <v>Srpen</v>
          </cell>
          <cell r="S1" t="str">
            <v>Září</v>
          </cell>
          <cell r="U1" t="str">
            <v>Říjen</v>
          </cell>
          <cell r="W1" t="str">
            <v>Listopad</v>
          </cell>
          <cell r="Y1" t="str">
            <v>Prosinec</v>
          </cell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/>
        </row>
        <row r="76">
          <cell r="AF76"/>
        </row>
        <row r="77">
          <cell r="AF77"/>
        </row>
        <row r="78">
          <cell r="AF78"/>
        </row>
        <row r="79">
          <cell r="AF79"/>
        </row>
        <row r="80">
          <cell r="AF80"/>
        </row>
        <row r="81">
          <cell r="AF81"/>
        </row>
        <row r="82">
          <cell r="AF82"/>
        </row>
        <row r="83">
          <cell r="AF83"/>
        </row>
        <row r="84">
          <cell r="AF84"/>
        </row>
        <row r="85">
          <cell r="AF85"/>
        </row>
        <row r="86">
          <cell r="AF86"/>
        </row>
        <row r="87">
          <cell r="AF87"/>
        </row>
        <row r="88">
          <cell r="AF88"/>
        </row>
        <row r="89">
          <cell r="AF89"/>
        </row>
        <row r="90">
          <cell r="AF90"/>
        </row>
        <row r="91">
          <cell r="AF91"/>
        </row>
        <row r="92">
          <cell r="AF92"/>
        </row>
        <row r="93">
          <cell r="AF93"/>
        </row>
        <row r="94">
          <cell r="AF94"/>
        </row>
        <row r="95">
          <cell r="AF95"/>
        </row>
        <row r="96">
          <cell r="AF96"/>
        </row>
        <row r="97">
          <cell r="AF97"/>
        </row>
        <row r="98">
          <cell r="AF98"/>
        </row>
        <row r="99">
          <cell r="AF99"/>
        </row>
        <row r="100">
          <cell r="AF100"/>
        </row>
        <row r="101">
          <cell r="AF101"/>
        </row>
        <row r="102">
          <cell r="AF102"/>
        </row>
        <row r="103">
          <cell r="AF103"/>
        </row>
        <row r="104">
          <cell r="AF104"/>
        </row>
        <row r="105">
          <cell r="AF105"/>
        </row>
        <row r="106">
          <cell r="AF106"/>
        </row>
        <row r="107">
          <cell r="AF107"/>
        </row>
        <row r="108">
          <cell r="AF108"/>
        </row>
        <row r="109">
          <cell r="AF109"/>
        </row>
        <row r="110">
          <cell r="AF110"/>
        </row>
        <row r="111">
          <cell r="AF111"/>
        </row>
        <row r="112">
          <cell r="AF112"/>
        </row>
        <row r="113">
          <cell r="AF113"/>
        </row>
        <row r="114">
          <cell r="AF114"/>
        </row>
        <row r="115">
          <cell r="AF115"/>
        </row>
        <row r="116">
          <cell r="AF116"/>
        </row>
        <row r="117">
          <cell r="AF117"/>
        </row>
        <row r="118">
          <cell r="AF118"/>
        </row>
        <row r="119">
          <cell r="AF119"/>
        </row>
        <row r="120">
          <cell r="AF120"/>
        </row>
        <row r="121">
          <cell r="AF121"/>
        </row>
        <row r="122">
          <cell r="AF122"/>
        </row>
        <row r="123">
          <cell r="AF123"/>
        </row>
        <row r="124">
          <cell r="AF124"/>
        </row>
        <row r="125">
          <cell r="AF125"/>
        </row>
        <row r="126">
          <cell r="AF126"/>
        </row>
        <row r="127">
          <cell r="AF127"/>
        </row>
        <row r="128">
          <cell r="AF128"/>
        </row>
        <row r="129">
          <cell r="AF129"/>
        </row>
        <row r="130">
          <cell r="AF130"/>
        </row>
        <row r="131">
          <cell r="AF131"/>
        </row>
        <row r="132">
          <cell r="AF132"/>
        </row>
        <row r="133">
          <cell r="AF133"/>
        </row>
        <row r="134">
          <cell r="AF134"/>
        </row>
        <row r="135">
          <cell r="AF135"/>
        </row>
        <row r="136">
          <cell r="AF136"/>
        </row>
        <row r="137">
          <cell r="AF137"/>
        </row>
        <row r="138">
          <cell r="AF138"/>
        </row>
        <row r="139">
          <cell r="AF139"/>
        </row>
        <row r="140">
          <cell r="AF140"/>
        </row>
        <row r="141">
          <cell r="AF141"/>
        </row>
        <row r="142">
          <cell r="AF142"/>
        </row>
        <row r="143">
          <cell r="AF143"/>
        </row>
        <row r="144">
          <cell r="AF144"/>
        </row>
        <row r="145">
          <cell r="AF145"/>
        </row>
        <row r="146">
          <cell r="AF146"/>
        </row>
        <row r="147">
          <cell r="AF147"/>
        </row>
        <row r="148">
          <cell r="AF148"/>
        </row>
        <row r="149">
          <cell r="AF149"/>
        </row>
        <row r="150">
          <cell r="AF150"/>
        </row>
        <row r="151">
          <cell r="AF151"/>
        </row>
        <row r="152">
          <cell r="AF152"/>
        </row>
        <row r="153">
          <cell r="AF153"/>
        </row>
        <row r="154">
          <cell r="AF154"/>
        </row>
        <row r="155">
          <cell r="AF155"/>
        </row>
        <row r="156">
          <cell r="AF156"/>
        </row>
        <row r="157">
          <cell r="AF157"/>
        </row>
        <row r="158">
          <cell r="AF158"/>
        </row>
        <row r="159">
          <cell r="AF159"/>
        </row>
        <row r="160">
          <cell r="AF160"/>
        </row>
        <row r="161">
          <cell r="AF161"/>
        </row>
        <row r="162">
          <cell r="AF162"/>
        </row>
        <row r="163">
          <cell r="AF163"/>
        </row>
        <row r="164">
          <cell r="AF164"/>
        </row>
        <row r="165">
          <cell r="AF165"/>
        </row>
        <row r="166">
          <cell r="AF166"/>
        </row>
        <row r="167">
          <cell r="AF167"/>
        </row>
        <row r="168">
          <cell r="AF168"/>
        </row>
        <row r="169">
          <cell r="AF169"/>
        </row>
        <row r="170">
          <cell r="AF170"/>
        </row>
        <row r="171">
          <cell r="AF171"/>
        </row>
        <row r="172">
          <cell r="AF172"/>
        </row>
        <row r="173">
          <cell r="AF173"/>
        </row>
        <row r="174">
          <cell r="AF174"/>
        </row>
        <row r="175">
          <cell r="AF175"/>
        </row>
        <row r="176">
          <cell r="AF176"/>
        </row>
        <row r="177">
          <cell r="AF177"/>
        </row>
        <row r="178">
          <cell r="AF178"/>
        </row>
        <row r="179">
          <cell r="AF179"/>
        </row>
        <row r="180">
          <cell r="AF180"/>
        </row>
        <row r="181">
          <cell r="AF181"/>
        </row>
        <row r="182">
          <cell r="AF182"/>
        </row>
        <row r="183">
          <cell r="AF183"/>
        </row>
        <row r="184">
          <cell r="AF184"/>
        </row>
        <row r="185">
          <cell r="AF185"/>
        </row>
        <row r="186">
          <cell r="AF186"/>
        </row>
        <row r="187">
          <cell r="AF187"/>
        </row>
        <row r="188">
          <cell r="AF188"/>
        </row>
        <row r="189">
          <cell r="AF189"/>
        </row>
        <row r="190">
          <cell r="AF190"/>
        </row>
        <row r="191">
          <cell r="AF191"/>
        </row>
        <row r="192">
          <cell r="AF192"/>
        </row>
        <row r="193">
          <cell r="AF193"/>
        </row>
        <row r="194">
          <cell r="AF194"/>
        </row>
        <row r="195">
          <cell r="AF195"/>
        </row>
        <row r="196">
          <cell r="AF196"/>
        </row>
        <row r="197">
          <cell r="AF197"/>
        </row>
        <row r="198">
          <cell r="AF198"/>
        </row>
        <row r="199">
          <cell r="AF199"/>
        </row>
        <row r="200">
          <cell r="AF200"/>
        </row>
        <row r="201">
          <cell r="AF201"/>
        </row>
        <row r="202">
          <cell r="AF202"/>
        </row>
        <row r="203">
          <cell r="AF203"/>
        </row>
        <row r="204">
          <cell r="AF204"/>
        </row>
        <row r="205">
          <cell r="AF205"/>
        </row>
        <row r="206">
          <cell r="AF206"/>
        </row>
        <row r="207">
          <cell r="AF207"/>
        </row>
        <row r="208">
          <cell r="AF208"/>
        </row>
        <row r="209">
          <cell r="AF209"/>
        </row>
        <row r="210">
          <cell r="AF210"/>
        </row>
        <row r="211">
          <cell r="AF211"/>
        </row>
        <row r="212">
          <cell r="AF212"/>
        </row>
        <row r="213">
          <cell r="AF213"/>
        </row>
        <row r="214">
          <cell r="AF214"/>
        </row>
        <row r="215">
          <cell r="AF215"/>
        </row>
        <row r="216">
          <cell r="AF216"/>
        </row>
        <row r="217">
          <cell r="AF217"/>
        </row>
        <row r="218">
          <cell r="AF218"/>
        </row>
        <row r="219">
          <cell r="AF219"/>
        </row>
        <row r="220">
          <cell r="AF220"/>
        </row>
        <row r="221">
          <cell r="AF221"/>
        </row>
        <row r="222">
          <cell r="AF222"/>
        </row>
        <row r="223">
          <cell r="AF223"/>
        </row>
        <row r="224">
          <cell r="AF224"/>
        </row>
        <row r="225">
          <cell r="AF225"/>
        </row>
        <row r="226">
          <cell r="AF226"/>
        </row>
        <row r="227">
          <cell r="AF227"/>
        </row>
        <row r="228">
          <cell r="AF228"/>
        </row>
        <row r="229">
          <cell r="AF229"/>
        </row>
        <row r="230">
          <cell r="AF230"/>
        </row>
        <row r="231">
          <cell r="AF231"/>
        </row>
        <row r="232">
          <cell r="AF232"/>
        </row>
        <row r="233">
          <cell r="AF233"/>
        </row>
        <row r="234">
          <cell r="AF234"/>
        </row>
        <row r="235">
          <cell r="AF235"/>
        </row>
        <row r="236">
          <cell r="AF236"/>
        </row>
        <row r="237">
          <cell r="AF237"/>
        </row>
        <row r="238">
          <cell r="AF238"/>
        </row>
        <row r="239">
          <cell r="AF239"/>
        </row>
        <row r="240">
          <cell r="AF240"/>
        </row>
        <row r="241">
          <cell r="AF241"/>
        </row>
        <row r="242">
          <cell r="AF242"/>
        </row>
        <row r="243">
          <cell r="AF243"/>
        </row>
        <row r="244">
          <cell r="AF244"/>
        </row>
        <row r="245">
          <cell r="AF245"/>
        </row>
        <row r="246">
          <cell r="AF246"/>
        </row>
        <row r="247">
          <cell r="AF247"/>
        </row>
        <row r="248">
          <cell r="AF248"/>
        </row>
        <row r="249">
          <cell r="AF249"/>
        </row>
        <row r="250">
          <cell r="AF250"/>
        </row>
        <row r="251">
          <cell r="AF251"/>
        </row>
        <row r="252">
          <cell r="AF252"/>
        </row>
        <row r="253">
          <cell r="AF253"/>
        </row>
        <row r="254">
          <cell r="AF254"/>
        </row>
        <row r="255">
          <cell r="AF255"/>
        </row>
        <row r="256">
          <cell r="AF256"/>
        </row>
        <row r="257">
          <cell r="AF257"/>
        </row>
        <row r="258">
          <cell r="AF258"/>
        </row>
        <row r="259">
          <cell r="AF259"/>
        </row>
        <row r="260">
          <cell r="AF260"/>
        </row>
        <row r="261">
          <cell r="AF261"/>
        </row>
        <row r="262">
          <cell r="AF262"/>
        </row>
        <row r="263">
          <cell r="AF263"/>
        </row>
        <row r="264">
          <cell r="AF264"/>
        </row>
        <row r="265">
          <cell r="AF265"/>
        </row>
        <row r="266">
          <cell r="AF266"/>
        </row>
        <row r="267">
          <cell r="AF267"/>
        </row>
        <row r="268">
          <cell r="AF268"/>
        </row>
        <row r="269">
          <cell r="AF269"/>
        </row>
        <row r="270">
          <cell r="AF270"/>
        </row>
        <row r="271">
          <cell r="AF271"/>
        </row>
        <row r="272">
          <cell r="AF272"/>
        </row>
        <row r="273">
          <cell r="AF273"/>
        </row>
        <row r="274">
          <cell r="AF274"/>
        </row>
        <row r="275">
          <cell r="AF275"/>
        </row>
        <row r="276">
          <cell r="AF276"/>
        </row>
        <row r="277">
          <cell r="AF277"/>
        </row>
        <row r="278">
          <cell r="AF278"/>
        </row>
        <row r="279">
          <cell r="AF279"/>
        </row>
        <row r="280">
          <cell r="AF280"/>
        </row>
        <row r="281">
          <cell r="AF281"/>
        </row>
        <row r="282">
          <cell r="AF282"/>
        </row>
        <row r="283">
          <cell r="AF283"/>
        </row>
        <row r="284">
          <cell r="AF284"/>
        </row>
        <row r="285">
          <cell r="AF285"/>
        </row>
        <row r="286">
          <cell r="AF286"/>
        </row>
        <row r="287">
          <cell r="AF287"/>
        </row>
        <row r="288">
          <cell r="AF288"/>
        </row>
        <row r="289">
          <cell r="AF289"/>
        </row>
        <row r="290">
          <cell r="AF290"/>
        </row>
        <row r="291">
          <cell r="AF291"/>
        </row>
        <row r="292">
          <cell r="AF292"/>
        </row>
        <row r="293">
          <cell r="AF293"/>
        </row>
        <row r="294">
          <cell r="AF294"/>
        </row>
        <row r="295">
          <cell r="AF295"/>
        </row>
        <row r="296">
          <cell r="AF296"/>
        </row>
        <row r="297">
          <cell r="AF297"/>
        </row>
        <row r="298">
          <cell r="AF298"/>
        </row>
        <row r="299">
          <cell r="AF299"/>
        </row>
        <row r="300">
          <cell r="AF300"/>
        </row>
        <row r="301">
          <cell r="AF301"/>
        </row>
        <row r="302">
          <cell r="AF302"/>
        </row>
        <row r="303">
          <cell r="AF303"/>
        </row>
        <row r="304">
          <cell r="AF304"/>
        </row>
        <row r="305">
          <cell r="AF305"/>
        </row>
        <row r="306">
          <cell r="AF306"/>
        </row>
        <row r="307">
          <cell r="AF307"/>
        </row>
        <row r="308">
          <cell r="AF308"/>
        </row>
        <row r="309">
          <cell r="AF309"/>
        </row>
        <row r="310">
          <cell r="AF310"/>
        </row>
        <row r="311">
          <cell r="AF311"/>
        </row>
        <row r="312">
          <cell r="AF312"/>
        </row>
        <row r="313">
          <cell r="AF313"/>
        </row>
        <row r="314">
          <cell r="AF314"/>
        </row>
        <row r="315">
          <cell r="AF315"/>
        </row>
        <row r="316">
          <cell r="AF316"/>
        </row>
        <row r="317">
          <cell r="AF317"/>
        </row>
        <row r="318">
          <cell r="AF318"/>
        </row>
        <row r="319">
          <cell r="AF319"/>
        </row>
        <row r="320">
          <cell r="AF320"/>
        </row>
        <row r="321">
          <cell r="AF321"/>
        </row>
        <row r="322">
          <cell r="AF322"/>
        </row>
        <row r="323">
          <cell r="AF323"/>
        </row>
        <row r="324">
          <cell r="AF324"/>
        </row>
        <row r="325">
          <cell r="AF325"/>
        </row>
        <row r="326">
          <cell r="AF326"/>
        </row>
        <row r="327">
          <cell r="AF327"/>
        </row>
        <row r="328">
          <cell r="AF328"/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4">
          <cell r="AF334"/>
        </row>
        <row r="335">
          <cell r="AF335"/>
        </row>
        <row r="336">
          <cell r="AF336"/>
        </row>
        <row r="337">
          <cell r="AF337"/>
        </row>
        <row r="338">
          <cell r="AF338"/>
        </row>
        <row r="339">
          <cell r="AF339"/>
        </row>
        <row r="340">
          <cell r="AF340"/>
        </row>
        <row r="341">
          <cell r="AF341"/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7">
          <cell r="AF347"/>
        </row>
        <row r="348">
          <cell r="AF348"/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6">
          <cell r="AF356"/>
        </row>
        <row r="357">
          <cell r="AF357"/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4">
          <cell r="AF364"/>
        </row>
        <row r="365">
          <cell r="AF365"/>
        </row>
        <row r="366">
          <cell r="AF366"/>
        </row>
        <row r="367">
          <cell r="AF367"/>
        </row>
        <row r="368">
          <cell r="AF368"/>
        </row>
        <row r="369">
          <cell r="AF369"/>
        </row>
        <row r="370">
          <cell r="AF370"/>
        </row>
        <row r="371">
          <cell r="AF371"/>
        </row>
        <row r="372">
          <cell r="AF372"/>
        </row>
        <row r="373">
          <cell r="AF373"/>
        </row>
        <row r="374">
          <cell r="AF374"/>
        </row>
        <row r="375">
          <cell r="AF375"/>
        </row>
        <row r="376">
          <cell r="AF376"/>
        </row>
        <row r="377">
          <cell r="AF377"/>
        </row>
        <row r="378">
          <cell r="AF378"/>
        </row>
        <row r="379">
          <cell r="AF379"/>
        </row>
        <row r="380">
          <cell r="AF380"/>
        </row>
        <row r="381">
          <cell r="AF381"/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 t="e">
            <v>#DIV/0!</v>
          </cell>
          <cell r="O3">
            <v>0</v>
          </cell>
          <cell r="P3">
            <v>0</v>
          </cell>
          <cell r="Q3">
            <v>3.0999999999999988</v>
          </cell>
          <cell r="R3" t="e">
            <v>#DIV/0!</v>
          </cell>
          <cell r="S3" t="e">
            <v>#DIV/0!</v>
          </cell>
          <cell r="T3">
            <v>0</v>
          </cell>
          <cell r="U3">
            <v>0</v>
          </cell>
          <cell r="V3">
            <v>7.0999999999999961</v>
          </cell>
          <cell r="W3" t="e">
            <v>#DIV/0!</v>
          </cell>
          <cell r="X3" t="e">
            <v>#DIV/0!</v>
          </cell>
          <cell r="Y3">
            <v>0</v>
          </cell>
          <cell r="Z3">
            <v>0</v>
          </cell>
          <cell r="AA3">
            <v>12.5</v>
          </cell>
          <cell r="AB3" t="e">
            <v>#DIV/0!</v>
          </cell>
          <cell r="AC3" t="e">
            <v>#DIV/0!</v>
          </cell>
          <cell r="AD3">
            <v>0</v>
          </cell>
          <cell r="AE3">
            <v>0</v>
          </cell>
          <cell r="AF3">
            <v>15.399999999999993</v>
          </cell>
          <cell r="AG3" t="e">
            <v>#DIV/0!</v>
          </cell>
          <cell r="AH3" t="e">
            <v>#DIV/0!</v>
          </cell>
          <cell r="AI3">
            <v>0</v>
          </cell>
          <cell r="AJ3">
            <v>0</v>
          </cell>
          <cell r="AK3">
            <v>17.199999999999996</v>
          </cell>
          <cell r="AL3" t="e">
            <v>#DIV/0!</v>
          </cell>
          <cell r="AM3" t="e">
            <v>#DIV/0!</v>
          </cell>
          <cell r="AN3">
            <v>0</v>
          </cell>
          <cell r="AO3">
            <v>0</v>
          </cell>
          <cell r="AP3">
            <v>16.899999999999991</v>
          </cell>
          <cell r="AQ3" t="e">
            <v>#DIV/0!</v>
          </cell>
          <cell r="AR3" t="e">
            <v>#DIV/0!</v>
          </cell>
          <cell r="AS3">
            <v>0</v>
          </cell>
          <cell r="AT3">
            <v>0</v>
          </cell>
          <cell r="AU3">
            <v>12.600000000000003</v>
          </cell>
          <cell r="AV3" t="e">
            <v>#DIV/0!</v>
          </cell>
          <cell r="AW3" t="e">
            <v>#DIV/0!</v>
          </cell>
          <cell r="AX3">
            <v>0</v>
          </cell>
          <cell r="AY3">
            <v>0</v>
          </cell>
          <cell r="AZ3">
            <v>7.5</v>
          </cell>
          <cell r="BA3" t="e">
            <v>#DIV/0!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0.42033898305084721</v>
          </cell>
          <cell r="BM3">
            <v>11.8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 t="e">
            <v>#DIV/0!</v>
          </cell>
          <cell r="O4">
            <v>0</v>
          </cell>
          <cell r="P4">
            <v>0</v>
          </cell>
          <cell r="Q4">
            <v>4.2000000000000011</v>
          </cell>
          <cell r="R4" t="e">
            <v>#DIV/0!</v>
          </cell>
          <cell r="S4" t="e">
            <v>#DIV/0!</v>
          </cell>
          <cell r="T4">
            <v>0</v>
          </cell>
          <cell r="U4">
            <v>0</v>
          </cell>
          <cell r="V4">
            <v>8.9000000000000021</v>
          </cell>
          <cell r="W4" t="e">
            <v>#DIV/0!</v>
          </cell>
          <cell r="X4" t="e">
            <v>#DIV/0!</v>
          </cell>
          <cell r="Y4">
            <v>0</v>
          </cell>
          <cell r="Z4">
            <v>0</v>
          </cell>
          <cell r="AA4">
            <v>14.199999999999992</v>
          </cell>
          <cell r="AB4" t="e">
            <v>#DIV/0!</v>
          </cell>
          <cell r="AC4" t="e">
            <v>#DIV/0!</v>
          </cell>
          <cell r="AD4">
            <v>0</v>
          </cell>
          <cell r="AE4">
            <v>0</v>
          </cell>
          <cell r="AF4">
            <v>17</v>
          </cell>
          <cell r="AG4" t="e">
            <v>#DIV/0!</v>
          </cell>
          <cell r="AH4" t="e">
            <v>#DIV/0!</v>
          </cell>
          <cell r="AI4">
            <v>0</v>
          </cell>
          <cell r="AJ4">
            <v>0</v>
          </cell>
          <cell r="AK4">
            <v>18.899999999999988</v>
          </cell>
          <cell r="AL4" t="e">
            <v>#DIV/0!</v>
          </cell>
          <cell r="AM4" t="e">
            <v>#DIV/0!</v>
          </cell>
          <cell r="AN4">
            <v>0</v>
          </cell>
          <cell r="AO4">
            <v>0</v>
          </cell>
          <cell r="AP4">
            <v>18.7</v>
          </cell>
          <cell r="AQ4" t="e">
            <v>#DIV/0!</v>
          </cell>
          <cell r="AR4" t="e">
            <v>#DIV/0!</v>
          </cell>
          <cell r="AS4">
            <v>0</v>
          </cell>
          <cell r="AT4">
            <v>0</v>
          </cell>
          <cell r="AU4">
            <v>14.199999999999992</v>
          </cell>
          <cell r="AV4" t="e">
            <v>#DIV/0!</v>
          </cell>
          <cell r="AW4" t="e">
            <v>#DIV/0!</v>
          </cell>
          <cell r="AX4">
            <v>0</v>
          </cell>
          <cell r="AY4">
            <v>0</v>
          </cell>
          <cell r="AZ4">
            <v>8.9</v>
          </cell>
          <cell r="BA4" t="e">
            <v>#DIV/0!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1.5796610169491527</v>
          </cell>
          <cell r="BM4">
            <v>11.8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 t="e">
            <v>#DIV/0!</v>
          </cell>
          <cell r="O5">
            <v>0</v>
          </cell>
          <cell r="P5">
            <v>0</v>
          </cell>
          <cell r="Q5">
            <v>2.7000000000000015</v>
          </cell>
          <cell r="R5" t="e">
            <v>#DIV/0!</v>
          </cell>
          <cell r="S5" t="e">
            <v>#DIV/0!</v>
          </cell>
          <cell r="T5">
            <v>0</v>
          </cell>
          <cell r="U5">
            <v>0</v>
          </cell>
          <cell r="V5">
            <v>6.5</v>
          </cell>
          <cell r="W5" t="e">
            <v>#DIV/0!</v>
          </cell>
          <cell r="X5" t="e">
            <v>#DIV/0!</v>
          </cell>
          <cell r="Y5">
            <v>0</v>
          </cell>
          <cell r="Z5">
            <v>0</v>
          </cell>
          <cell r="AA5">
            <v>11.800000000000006</v>
          </cell>
          <cell r="AB5" t="e">
            <v>#DIV/0!</v>
          </cell>
          <cell r="AC5" t="e">
            <v>#DIV/0!</v>
          </cell>
          <cell r="AD5">
            <v>0</v>
          </cell>
          <cell r="AE5">
            <v>0</v>
          </cell>
          <cell r="AF5">
            <v>14.600000000000007</v>
          </cell>
          <cell r="AG5" t="e">
            <v>#DIV/0!</v>
          </cell>
          <cell r="AH5" t="e">
            <v>#DIV/0!</v>
          </cell>
          <cell r="AI5">
            <v>0</v>
          </cell>
          <cell r="AJ5">
            <v>0</v>
          </cell>
          <cell r="AK5">
            <v>16.5</v>
          </cell>
          <cell r="AL5" t="e">
            <v>#DIV/0!</v>
          </cell>
          <cell r="AM5" t="e">
            <v>#DIV/0!</v>
          </cell>
          <cell r="AN5">
            <v>0</v>
          </cell>
          <cell r="AO5">
            <v>0</v>
          </cell>
          <cell r="AP5">
            <v>16.100000000000009</v>
          </cell>
          <cell r="AQ5" t="e">
            <v>#DIV/0!</v>
          </cell>
          <cell r="AR5" t="e">
            <v>#DIV/0!</v>
          </cell>
          <cell r="AS5">
            <v>0</v>
          </cell>
          <cell r="AT5">
            <v>0</v>
          </cell>
          <cell r="AU5">
            <v>11.800000000000006</v>
          </cell>
          <cell r="AV5" t="e">
            <v>#DIV/0!</v>
          </cell>
          <cell r="AW5" t="e">
            <v>#DIV/0!</v>
          </cell>
          <cell r="AX5">
            <v>0</v>
          </cell>
          <cell r="AY5">
            <v>0</v>
          </cell>
          <cell r="AZ5">
            <v>7</v>
          </cell>
          <cell r="BA5" t="e">
            <v>#DIV/0!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-0.68474576271186449</v>
          </cell>
          <cell r="BM5">
            <v>6.8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 t="e">
            <v>#DIV/0!</v>
          </cell>
          <cell r="O6">
            <v>0</v>
          </cell>
          <cell r="P6">
            <v>0</v>
          </cell>
          <cell r="Q6">
            <v>2.5999999999999992</v>
          </cell>
          <cell r="R6" t="e">
            <v>#DIV/0!</v>
          </cell>
          <cell r="S6" t="e">
            <v>#DIV/0!</v>
          </cell>
          <cell r="T6">
            <v>0</v>
          </cell>
          <cell r="U6">
            <v>0</v>
          </cell>
          <cell r="V6">
            <v>7</v>
          </cell>
          <cell r="W6" t="e">
            <v>#DIV/0!</v>
          </cell>
          <cell r="X6" t="e">
            <v>#DIV/0!</v>
          </cell>
          <cell r="Y6">
            <v>0</v>
          </cell>
          <cell r="Z6">
            <v>0</v>
          </cell>
          <cell r="AA6">
            <v>12.600000000000005</v>
          </cell>
          <cell r="AB6" t="e">
            <v>#DIV/0!</v>
          </cell>
          <cell r="AC6" t="e">
            <v>#DIV/0!</v>
          </cell>
          <cell r="AD6">
            <v>0</v>
          </cell>
          <cell r="AE6">
            <v>0</v>
          </cell>
          <cell r="AF6">
            <v>15.199999999999992</v>
          </cell>
          <cell r="AG6" t="e">
            <v>#DIV/0!</v>
          </cell>
          <cell r="AH6" t="e">
            <v>#DIV/0!</v>
          </cell>
          <cell r="AI6">
            <v>0</v>
          </cell>
          <cell r="AJ6">
            <v>0</v>
          </cell>
          <cell r="AK6">
            <v>16.899999999999991</v>
          </cell>
          <cell r="AL6" t="e">
            <v>#DIV/0!</v>
          </cell>
          <cell r="AM6" t="e">
            <v>#DIV/0!</v>
          </cell>
          <cell r="AN6">
            <v>0</v>
          </cell>
          <cell r="AO6">
            <v>0</v>
          </cell>
          <cell r="AP6">
            <v>16.899999999999991</v>
          </cell>
          <cell r="AQ6" t="e">
            <v>#DIV/0!</v>
          </cell>
          <cell r="AR6" t="e">
            <v>#DIV/0!</v>
          </cell>
          <cell r="AS6">
            <v>0</v>
          </cell>
          <cell r="AT6">
            <v>0</v>
          </cell>
          <cell r="AU6">
            <v>12.600000000000003</v>
          </cell>
          <cell r="AV6" t="e">
            <v>#DIV/0!</v>
          </cell>
          <cell r="AW6" t="e">
            <v>#DIV/0!</v>
          </cell>
          <cell r="AX6">
            <v>0</v>
          </cell>
          <cell r="AY6">
            <v>0</v>
          </cell>
          <cell r="AZ6">
            <v>7.8000000000000043</v>
          </cell>
          <cell r="BA6" t="e">
            <v>#DIV/0!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0.5898305084745763</v>
          </cell>
          <cell r="BM6">
            <v>8.8000000000000007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 t="e">
            <v>#DIV/0!</v>
          </cell>
          <cell r="O7">
            <v>0</v>
          </cell>
          <cell r="P7">
            <v>0</v>
          </cell>
          <cell r="Q7">
            <v>2.7999999999999985</v>
          </cell>
          <cell r="R7" t="e">
            <v>#DIV/0!</v>
          </cell>
          <cell r="S7" t="e">
            <v>#DIV/0!</v>
          </cell>
          <cell r="T7">
            <v>0</v>
          </cell>
          <cell r="U7">
            <v>0</v>
          </cell>
          <cell r="V7">
            <v>6.9000000000000039</v>
          </cell>
          <cell r="W7" t="e">
            <v>#DIV/0!</v>
          </cell>
          <cell r="X7" t="e">
            <v>#DIV/0!</v>
          </cell>
          <cell r="Y7">
            <v>0</v>
          </cell>
          <cell r="Z7">
            <v>0</v>
          </cell>
          <cell r="AA7">
            <v>12.399999999999995</v>
          </cell>
          <cell r="AB7" t="e">
            <v>#DIV/0!</v>
          </cell>
          <cell r="AC7" t="e">
            <v>#DIV/0!</v>
          </cell>
          <cell r="AD7">
            <v>0</v>
          </cell>
          <cell r="AE7">
            <v>0</v>
          </cell>
          <cell r="AF7">
            <v>15.100000000000007</v>
          </cell>
          <cell r="AG7" t="e">
            <v>#DIV/0!</v>
          </cell>
          <cell r="AH7" t="e">
            <v>#DIV/0!</v>
          </cell>
          <cell r="AI7">
            <v>0</v>
          </cell>
          <cell r="AJ7">
            <v>0</v>
          </cell>
          <cell r="AK7">
            <v>16.600000000000009</v>
          </cell>
          <cell r="AL7" t="e">
            <v>#DIV/0!</v>
          </cell>
          <cell r="AM7" t="e">
            <v>#DIV/0!</v>
          </cell>
          <cell r="AN7">
            <v>0</v>
          </cell>
          <cell r="AO7">
            <v>0</v>
          </cell>
          <cell r="AP7">
            <v>16.300000000000008</v>
          </cell>
          <cell r="AQ7" t="e">
            <v>#DIV/0!</v>
          </cell>
          <cell r="AR7" t="e">
            <v>#DIV/0!</v>
          </cell>
          <cell r="AS7">
            <v>0</v>
          </cell>
          <cell r="AT7">
            <v>0</v>
          </cell>
          <cell r="AU7">
            <v>12.300000000000006</v>
          </cell>
          <cell r="AV7" t="e">
            <v>#DIV/0!</v>
          </cell>
          <cell r="AW7" t="e">
            <v>#DIV/0!</v>
          </cell>
          <cell r="AX7">
            <v>0</v>
          </cell>
          <cell r="AY7">
            <v>0</v>
          </cell>
          <cell r="AZ7">
            <v>7.8000000000000043</v>
          </cell>
          <cell r="BA7" t="e">
            <v>#DIV/0!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0.67796610169491545</v>
          </cell>
          <cell r="BM7">
            <v>7.9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 t="e">
            <v>#DIV/0!</v>
          </cell>
          <cell r="O8">
            <v>0</v>
          </cell>
          <cell r="P8">
            <v>0</v>
          </cell>
          <cell r="Q8">
            <v>2.9000000000000008</v>
          </cell>
          <cell r="R8" t="e">
            <v>#DIV/0!</v>
          </cell>
          <cell r="S8" t="e">
            <v>#DIV/0!</v>
          </cell>
          <cell r="T8">
            <v>0</v>
          </cell>
          <cell r="U8">
            <v>0</v>
          </cell>
          <cell r="V8">
            <v>7.3000000000000034</v>
          </cell>
          <cell r="W8" t="e">
            <v>#DIV/0!</v>
          </cell>
          <cell r="X8" t="e">
            <v>#DIV/0!</v>
          </cell>
          <cell r="Y8">
            <v>0</v>
          </cell>
          <cell r="Z8">
            <v>0</v>
          </cell>
          <cell r="AA8">
            <v>12.699999999999994</v>
          </cell>
          <cell r="AB8" t="e">
            <v>#DIV/0!</v>
          </cell>
          <cell r="AC8" t="e">
            <v>#DIV/0!</v>
          </cell>
          <cell r="AD8">
            <v>0</v>
          </cell>
          <cell r="AE8">
            <v>0</v>
          </cell>
          <cell r="AF8">
            <v>15.5</v>
          </cell>
          <cell r="AG8" t="e">
            <v>#DIV/0!</v>
          </cell>
          <cell r="AH8" t="e">
            <v>#DIV/0!</v>
          </cell>
          <cell r="AI8">
            <v>0</v>
          </cell>
          <cell r="AJ8">
            <v>0</v>
          </cell>
          <cell r="AK8">
            <v>17.199999999999996</v>
          </cell>
          <cell r="AL8" t="e">
            <v>#DIV/0!</v>
          </cell>
          <cell r="AM8" t="e">
            <v>#DIV/0!</v>
          </cell>
          <cell r="AN8">
            <v>0</v>
          </cell>
          <cell r="AO8">
            <v>0</v>
          </cell>
          <cell r="AP8">
            <v>16.899999999999991</v>
          </cell>
          <cell r="AQ8" t="e">
            <v>#DIV/0!</v>
          </cell>
          <cell r="AR8" t="e">
            <v>#DIV/0!</v>
          </cell>
          <cell r="AS8">
            <v>0</v>
          </cell>
          <cell r="AT8">
            <v>0</v>
          </cell>
          <cell r="AU8">
            <v>12.699999999999994</v>
          </cell>
          <cell r="AV8" t="e">
            <v>#DIV/0!</v>
          </cell>
          <cell r="AW8" t="e">
            <v>#DIV/0!</v>
          </cell>
          <cell r="AX8">
            <v>0</v>
          </cell>
          <cell r="AY8">
            <v>0</v>
          </cell>
          <cell r="AZ8">
            <v>8.1999999999999957</v>
          </cell>
          <cell r="BA8" t="e">
            <v>#DIV/0!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0.79661016949152563</v>
          </cell>
          <cell r="BM8">
            <v>9.9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 t="e">
            <v>#DIV/0!</v>
          </cell>
          <cell r="O9">
            <v>0</v>
          </cell>
          <cell r="P9">
            <v>0</v>
          </cell>
          <cell r="Q9">
            <v>2.5</v>
          </cell>
          <cell r="R9" t="e">
            <v>#DIV/0!</v>
          </cell>
          <cell r="S9" t="e">
            <v>#DIV/0!</v>
          </cell>
          <cell r="T9">
            <v>0</v>
          </cell>
          <cell r="U9">
            <v>0</v>
          </cell>
          <cell r="V9">
            <v>6.9000000000000039</v>
          </cell>
          <cell r="W9" t="e">
            <v>#DIV/0!</v>
          </cell>
          <cell r="X9" t="e">
            <v>#DIV/0!</v>
          </cell>
          <cell r="Y9">
            <v>0</v>
          </cell>
          <cell r="Z9">
            <v>0</v>
          </cell>
          <cell r="AA9">
            <v>12.199999999999994</v>
          </cell>
          <cell r="AB9" t="e">
            <v>#DIV/0!</v>
          </cell>
          <cell r="AC9" t="e">
            <v>#DIV/0!</v>
          </cell>
          <cell r="AD9">
            <v>0</v>
          </cell>
          <cell r="AE9">
            <v>0</v>
          </cell>
          <cell r="AF9">
            <v>14.899999999999993</v>
          </cell>
          <cell r="AG9" t="e">
            <v>#DIV/0!</v>
          </cell>
          <cell r="AH9" t="e">
            <v>#DIV/0!</v>
          </cell>
          <cell r="AI9">
            <v>0</v>
          </cell>
          <cell r="AJ9">
            <v>0</v>
          </cell>
          <cell r="AK9">
            <v>16.699999999999996</v>
          </cell>
          <cell r="AL9" t="e">
            <v>#DIV/0!</v>
          </cell>
          <cell r="AM9" t="e">
            <v>#DIV/0!</v>
          </cell>
          <cell r="AN9">
            <v>0</v>
          </cell>
          <cell r="AO9">
            <v>0</v>
          </cell>
          <cell r="AP9">
            <v>16.600000000000009</v>
          </cell>
          <cell r="AQ9" t="e">
            <v>#DIV/0!</v>
          </cell>
          <cell r="AR9" t="e">
            <v>#DIV/0!</v>
          </cell>
          <cell r="AS9">
            <v>0</v>
          </cell>
          <cell r="AT9">
            <v>0</v>
          </cell>
          <cell r="AU9">
            <v>12.5</v>
          </cell>
          <cell r="AV9" t="e">
            <v>#DIV/0!</v>
          </cell>
          <cell r="AW9" t="e">
            <v>#DIV/0!</v>
          </cell>
          <cell r="AX9">
            <v>0</v>
          </cell>
          <cell r="AY9">
            <v>0</v>
          </cell>
          <cell r="AZ9">
            <v>7.6999999999999957</v>
          </cell>
          <cell r="BA9" t="e">
            <v>#DIV/0!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0.35932203389830514</v>
          </cell>
          <cell r="BM9">
            <v>9.3000000000000007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 t="e">
            <v>#DIV/0!</v>
          </cell>
          <cell r="O10">
            <v>0</v>
          </cell>
          <cell r="P10">
            <v>0</v>
          </cell>
          <cell r="Q10">
            <v>3.5999999999999979</v>
          </cell>
          <cell r="R10" t="e">
            <v>#DIV/0!</v>
          </cell>
          <cell r="S10" t="e">
            <v>#DIV/0!</v>
          </cell>
          <cell r="T10">
            <v>0</v>
          </cell>
          <cell r="U10">
            <v>0</v>
          </cell>
          <cell r="V10">
            <v>7.9000000000000039</v>
          </cell>
          <cell r="W10" t="e">
            <v>#DIV/0!</v>
          </cell>
          <cell r="X10" t="e">
            <v>#DIV/0!</v>
          </cell>
          <cell r="Y10">
            <v>0</v>
          </cell>
          <cell r="Z10">
            <v>0</v>
          </cell>
          <cell r="AA10">
            <v>13.300000000000008</v>
          </cell>
          <cell r="AB10" t="e">
            <v>#DIV/0!</v>
          </cell>
          <cell r="AC10" t="e">
            <v>#DIV/0!</v>
          </cell>
          <cell r="AD10">
            <v>0</v>
          </cell>
          <cell r="AE10">
            <v>0</v>
          </cell>
          <cell r="AF10">
            <v>16.199999999999992</v>
          </cell>
          <cell r="AG10" t="e">
            <v>#DIV/0!</v>
          </cell>
          <cell r="AH10" t="e">
            <v>#DIV/0!</v>
          </cell>
          <cell r="AI10">
            <v>0</v>
          </cell>
          <cell r="AJ10">
            <v>0</v>
          </cell>
          <cell r="AK10">
            <v>17.7</v>
          </cell>
          <cell r="AL10" t="e">
            <v>#DIV/0!</v>
          </cell>
          <cell r="AM10" t="e">
            <v>#DIV/0!</v>
          </cell>
          <cell r="AN10">
            <v>0</v>
          </cell>
          <cell r="AO10">
            <v>0</v>
          </cell>
          <cell r="AP10">
            <v>17.5</v>
          </cell>
          <cell r="AQ10" t="e">
            <v>#DIV/0!</v>
          </cell>
          <cell r="AR10" t="e">
            <v>#DIV/0!</v>
          </cell>
          <cell r="AS10">
            <v>0</v>
          </cell>
          <cell r="AT10">
            <v>0</v>
          </cell>
          <cell r="AU10">
            <v>13.300000000000008</v>
          </cell>
          <cell r="AV10" t="e">
            <v>#DIV/0!</v>
          </cell>
          <cell r="AW10" t="e">
            <v>#DIV/0!</v>
          </cell>
          <cell r="AX10">
            <v>0</v>
          </cell>
          <cell r="AY10">
            <v>0</v>
          </cell>
          <cell r="AZ10">
            <v>8.4000000000000021</v>
          </cell>
          <cell r="BA10" t="e">
            <v>#DIV/0!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0.69491525423728828</v>
          </cell>
          <cell r="BM10">
            <v>10.8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 t="e">
            <v>#DIV/0!</v>
          </cell>
          <cell r="O11">
            <v>0</v>
          </cell>
          <cell r="P11">
            <v>0</v>
          </cell>
          <cell r="Q11">
            <v>3.4000000000000017</v>
          </cell>
          <cell r="R11" t="e">
            <v>#DIV/0!</v>
          </cell>
          <cell r="S11" t="e">
            <v>#DIV/0!</v>
          </cell>
          <cell r="T11">
            <v>0</v>
          </cell>
          <cell r="U11">
            <v>0</v>
          </cell>
          <cell r="V11">
            <v>7.1999999999999966</v>
          </cell>
          <cell r="W11" t="e">
            <v>#DIV/0!</v>
          </cell>
          <cell r="X11" t="e">
            <v>#DIV/0!</v>
          </cell>
          <cell r="Y11">
            <v>0</v>
          </cell>
          <cell r="Z11">
            <v>0</v>
          </cell>
          <cell r="AA11">
            <v>12.699999999999994</v>
          </cell>
          <cell r="AB11" t="e">
            <v>#DIV/0!</v>
          </cell>
          <cell r="AC11" t="e">
            <v>#DIV/0!</v>
          </cell>
          <cell r="AD11">
            <v>0</v>
          </cell>
          <cell r="AE11">
            <v>0</v>
          </cell>
          <cell r="AF11">
            <v>15.600000000000007</v>
          </cell>
          <cell r="AG11" t="e">
            <v>#DIV/0!</v>
          </cell>
          <cell r="AH11" t="e">
            <v>#DIV/0!</v>
          </cell>
          <cell r="AI11">
            <v>0</v>
          </cell>
          <cell r="AJ11">
            <v>0</v>
          </cell>
          <cell r="AK11">
            <v>17.5</v>
          </cell>
          <cell r="AL11" t="e">
            <v>#DIV/0!</v>
          </cell>
          <cell r="AM11" t="e">
            <v>#DIV/0!</v>
          </cell>
          <cell r="AN11">
            <v>0</v>
          </cell>
          <cell r="AO11">
            <v>0</v>
          </cell>
          <cell r="AP11">
            <v>17</v>
          </cell>
          <cell r="AQ11" t="e">
            <v>#DIV/0!</v>
          </cell>
          <cell r="AR11" t="e">
            <v>#DIV/0!</v>
          </cell>
          <cell r="AS11">
            <v>0</v>
          </cell>
          <cell r="AT11">
            <v>0</v>
          </cell>
          <cell r="AU11">
            <v>12.800000000000006</v>
          </cell>
          <cell r="AV11" t="e">
            <v>#DIV/0!</v>
          </cell>
          <cell r="AW11" t="e">
            <v>#DIV/0!</v>
          </cell>
          <cell r="AX11">
            <v>0</v>
          </cell>
          <cell r="AY11">
            <v>0</v>
          </cell>
          <cell r="AZ11">
            <v>7.6999999999999957</v>
          </cell>
          <cell r="BA11" t="e">
            <v>#DIV/0!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0.76271186440678007</v>
          </cell>
          <cell r="BM11">
            <v>11.2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 t="e">
            <v>#DIV/0!</v>
          </cell>
          <cell r="O12">
            <v>0</v>
          </cell>
          <cell r="P12">
            <v>0</v>
          </cell>
          <cell r="Q12">
            <v>4.599999999999997</v>
          </cell>
          <cell r="R12" t="e">
            <v>#DIV/0!</v>
          </cell>
          <cell r="S12" t="e">
            <v>#DIV/0!</v>
          </cell>
          <cell r="T12">
            <v>0</v>
          </cell>
          <cell r="U12">
            <v>0</v>
          </cell>
          <cell r="V12">
            <v>8.6999999999999957</v>
          </cell>
          <cell r="W12" t="e">
            <v>#DIV/0!</v>
          </cell>
          <cell r="X12" t="e">
            <v>#DIV/0!</v>
          </cell>
          <cell r="Y12">
            <v>0</v>
          </cell>
          <cell r="Z12">
            <v>0</v>
          </cell>
          <cell r="AA12">
            <v>14</v>
          </cell>
          <cell r="AB12" t="e">
            <v>#DIV/0!</v>
          </cell>
          <cell r="AC12" t="e">
            <v>#DIV/0!</v>
          </cell>
          <cell r="AD12">
            <v>0</v>
          </cell>
          <cell r="AE12">
            <v>0</v>
          </cell>
          <cell r="AF12">
            <v>16.800000000000008</v>
          </cell>
          <cell r="AG12" t="e">
            <v>#DIV/0!</v>
          </cell>
          <cell r="AH12" t="e">
            <v>#DIV/0!</v>
          </cell>
          <cell r="AI12">
            <v>0</v>
          </cell>
          <cell r="AJ12">
            <v>0</v>
          </cell>
          <cell r="AK12">
            <v>18.7</v>
          </cell>
          <cell r="AL12" t="e">
            <v>#DIV/0!</v>
          </cell>
          <cell r="AM12" t="e">
            <v>#DIV/0!</v>
          </cell>
          <cell r="AN12">
            <v>0</v>
          </cell>
          <cell r="AO12">
            <v>0</v>
          </cell>
          <cell r="AP12">
            <v>18.5</v>
          </cell>
          <cell r="AQ12" t="e">
            <v>#DIV/0!</v>
          </cell>
          <cell r="AR12" t="e">
            <v>#DIV/0!</v>
          </cell>
          <cell r="AS12">
            <v>0</v>
          </cell>
          <cell r="AT12">
            <v>0</v>
          </cell>
          <cell r="AU12">
            <v>14.100000000000005</v>
          </cell>
          <cell r="AV12" t="e">
            <v>#DIV/0!</v>
          </cell>
          <cell r="AW12" t="e">
            <v>#DIV/0!</v>
          </cell>
          <cell r="AX12">
            <v>0</v>
          </cell>
          <cell r="AY12">
            <v>0</v>
          </cell>
          <cell r="AZ12">
            <v>9</v>
          </cell>
          <cell r="BA12" t="e">
            <v>#DIV/0!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2.3694915254237285</v>
          </cell>
          <cell r="BM12">
            <v>11.1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 t="e">
            <v>#DIV/0!</v>
          </cell>
          <cell r="O13">
            <v>0</v>
          </cell>
          <cell r="P13">
            <v>0</v>
          </cell>
          <cell r="Q13">
            <v>4.2999999999999989</v>
          </cell>
          <cell r="R13" t="e">
            <v>#DIV/0!</v>
          </cell>
          <cell r="S13" t="e">
            <v>#DIV/0!</v>
          </cell>
          <cell r="T13">
            <v>0</v>
          </cell>
          <cell r="U13">
            <v>0</v>
          </cell>
          <cell r="V13">
            <v>8.5</v>
          </cell>
          <cell r="W13" t="e">
            <v>#DIV/0!</v>
          </cell>
          <cell r="X13" t="e">
            <v>#DIV/0!</v>
          </cell>
          <cell r="Y13">
            <v>0</v>
          </cell>
          <cell r="Z13">
            <v>0</v>
          </cell>
          <cell r="AA13">
            <v>13.800000000000008</v>
          </cell>
          <cell r="AB13" t="e">
            <v>#DIV/0!</v>
          </cell>
          <cell r="AC13" t="e">
            <v>#DIV/0!</v>
          </cell>
          <cell r="AD13">
            <v>0</v>
          </cell>
          <cell r="AE13">
            <v>0</v>
          </cell>
          <cell r="AF13">
            <v>16.600000000000009</v>
          </cell>
          <cell r="AG13" t="e">
            <v>#DIV/0!</v>
          </cell>
          <cell r="AH13" t="e">
            <v>#DIV/0!</v>
          </cell>
          <cell r="AI13">
            <v>0</v>
          </cell>
          <cell r="AJ13">
            <v>0</v>
          </cell>
          <cell r="AK13">
            <v>18.3</v>
          </cell>
          <cell r="AL13" t="e">
            <v>#DIV/0!</v>
          </cell>
          <cell r="AM13" t="e">
            <v>#DIV/0!</v>
          </cell>
          <cell r="AN13">
            <v>0</v>
          </cell>
          <cell r="AO13">
            <v>0</v>
          </cell>
          <cell r="AP13">
            <v>18.100000000000009</v>
          </cell>
          <cell r="AQ13" t="e">
            <v>#DIV/0!</v>
          </cell>
          <cell r="AR13" t="e">
            <v>#DIV/0!</v>
          </cell>
          <cell r="AS13">
            <v>0</v>
          </cell>
          <cell r="AT13">
            <v>0</v>
          </cell>
          <cell r="AU13">
            <v>13.699999999999992</v>
          </cell>
          <cell r="AV13" t="e">
            <v>#DIV/0!</v>
          </cell>
          <cell r="AW13" t="e">
            <v>#DIV/0!</v>
          </cell>
          <cell r="AX13">
            <v>0</v>
          </cell>
          <cell r="AY13">
            <v>0</v>
          </cell>
          <cell r="AZ13">
            <v>8.6999999999999957</v>
          </cell>
          <cell r="BA13" t="e">
            <v>#DIV/0!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1.4745762711864407</v>
          </cell>
          <cell r="BM13">
            <v>11.4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 t="e">
            <v>#DIV/0!</v>
          </cell>
          <cell r="O14">
            <v>0</v>
          </cell>
          <cell r="P14">
            <v>0</v>
          </cell>
          <cell r="Q14">
            <v>4.2999999999999989</v>
          </cell>
          <cell r="R14" t="e">
            <v>#DIV/0!</v>
          </cell>
          <cell r="S14" t="e">
            <v>#DIV/0!</v>
          </cell>
          <cell r="T14">
            <v>0</v>
          </cell>
          <cell r="U14">
            <v>0</v>
          </cell>
          <cell r="V14">
            <v>8.5</v>
          </cell>
          <cell r="W14" t="e">
            <v>#DIV/0!</v>
          </cell>
          <cell r="X14" t="e">
            <v>#DIV/0!</v>
          </cell>
          <cell r="Y14">
            <v>0</v>
          </cell>
          <cell r="Z14">
            <v>0</v>
          </cell>
          <cell r="AA14">
            <v>13.899999999999993</v>
          </cell>
          <cell r="AB14" t="e">
            <v>#DIV/0!</v>
          </cell>
          <cell r="AC14" t="e">
            <v>#DIV/0!</v>
          </cell>
          <cell r="AD14">
            <v>0</v>
          </cell>
          <cell r="AE14">
            <v>0</v>
          </cell>
          <cell r="AF14">
            <v>16.699999999999992</v>
          </cell>
          <cell r="AG14" t="e">
            <v>#DIV/0!</v>
          </cell>
          <cell r="AH14" t="e">
            <v>#DIV/0!</v>
          </cell>
          <cell r="AI14">
            <v>0</v>
          </cell>
          <cell r="AJ14">
            <v>0</v>
          </cell>
          <cell r="AK14">
            <v>18.5</v>
          </cell>
          <cell r="AL14" t="e">
            <v>#DIV/0!</v>
          </cell>
          <cell r="AM14" t="e">
            <v>#DIV/0!</v>
          </cell>
          <cell r="AN14">
            <v>0</v>
          </cell>
          <cell r="AO14">
            <v>0</v>
          </cell>
          <cell r="AP14">
            <v>18</v>
          </cell>
          <cell r="AQ14" t="e">
            <v>#DIV/0!</v>
          </cell>
          <cell r="AR14" t="e">
            <v>#DIV/0!</v>
          </cell>
          <cell r="AS14">
            <v>0</v>
          </cell>
          <cell r="AT14">
            <v>0</v>
          </cell>
          <cell r="AU14">
            <v>13.699999999999992</v>
          </cell>
          <cell r="AV14" t="e">
            <v>#DIV/0!</v>
          </cell>
          <cell r="AW14" t="e">
            <v>#DIV/0!</v>
          </cell>
          <cell r="AX14">
            <v>0</v>
          </cell>
          <cell r="AY14">
            <v>0</v>
          </cell>
          <cell r="AZ14">
            <v>8.5999999999999979</v>
          </cell>
          <cell r="BA14" t="e">
            <v>#DIV/0!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1.3728813559322028</v>
          </cell>
          <cell r="BM14">
            <v>9.8000000000000007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 t="e">
            <v>#DIV/0!</v>
          </cell>
          <cell r="O15">
            <v>0</v>
          </cell>
          <cell r="P15">
            <v>0</v>
          </cell>
          <cell r="Q15">
            <v>2.5</v>
          </cell>
          <cell r="R15" t="e">
            <v>#DIV/0!</v>
          </cell>
          <cell r="S15" t="e">
            <v>#DIV/0!</v>
          </cell>
          <cell r="T15">
            <v>0</v>
          </cell>
          <cell r="U15">
            <v>0</v>
          </cell>
          <cell r="V15">
            <v>6.9000000000000039</v>
          </cell>
          <cell r="W15" t="e">
            <v>#DIV/0!</v>
          </cell>
          <cell r="X15" t="e">
            <v>#DIV/0!</v>
          </cell>
          <cell r="Y15">
            <v>0</v>
          </cell>
          <cell r="Z15">
            <v>0</v>
          </cell>
          <cell r="AA15">
            <v>12.399999999999995</v>
          </cell>
          <cell r="AB15" t="e">
            <v>#DIV/0!</v>
          </cell>
          <cell r="AC15" t="e">
            <v>#DIV/0!</v>
          </cell>
          <cell r="AD15">
            <v>0</v>
          </cell>
          <cell r="AE15">
            <v>0</v>
          </cell>
          <cell r="AF15">
            <v>15.199999999999992</v>
          </cell>
          <cell r="AG15" t="e">
            <v>#DIV/0!</v>
          </cell>
          <cell r="AH15" t="e">
            <v>#DIV/0!</v>
          </cell>
          <cell r="AI15">
            <v>0</v>
          </cell>
          <cell r="AJ15">
            <v>0</v>
          </cell>
          <cell r="AK15">
            <v>17</v>
          </cell>
          <cell r="AL15" t="e">
            <v>#DIV/0!</v>
          </cell>
          <cell r="AM15" t="e">
            <v>#DIV/0!</v>
          </cell>
          <cell r="AN15">
            <v>0</v>
          </cell>
          <cell r="AO15">
            <v>0</v>
          </cell>
          <cell r="AP15">
            <v>16.699999999999996</v>
          </cell>
          <cell r="AQ15" t="e">
            <v>#DIV/0!</v>
          </cell>
          <cell r="AR15" t="e">
            <v>#DIV/0!</v>
          </cell>
          <cell r="AS15">
            <v>0</v>
          </cell>
          <cell r="AT15">
            <v>0</v>
          </cell>
          <cell r="AU15">
            <v>12.399999999999997</v>
          </cell>
          <cell r="AV15" t="e">
            <v>#DIV/0!</v>
          </cell>
          <cell r="AW15" t="e">
            <v>#DIV/0!</v>
          </cell>
          <cell r="AX15">
            <v>0</v>
          </cell>
          <cell r="AY15">
            <v>0</v>
          </cell>
          <cell r="AZ15">
            <v>7.4000000000000039</v>
          </cell>
          <cell r="BA15" t="e">
            <v>#DIV/0!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0.15762711864406781</v>
          </cell>
          <cell r="BM15">
            <v>10.7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 t="e">
            <v>#DIV/0!</v>
          </cell>
          <cell r="O16">
            <v>0</v>
          </cell>
          <cell r="P16">
            <v>0</v>
          </cell>
          <cell r="Q16">
            <v>3.9000000000000021</v>
          </cell>
          <cell r="R16" t="e">
            <v>#DIV/0!</v>
          </cell>
          <cell r="S16" t="e">
            <v>#DIV/0!</v>
          </cell>
          <cell r="T16">
            <v>0</v>
          </cell>
          <cell r="U16">
            <v>0</v>
          </cell>
          <cell r="V16">
            <v>8.5</v>
          </cell>
          <cell r="W16" t="e">
            <v>#DIV/0!</v>
          </cell>
          <cell r="X16" t="e">
            <v>#DIV/0!</v>
          </cell>
          <cell r="Y16">
            <v>0</v>
          </cell>
          <cell r="Z16">
            <v>0</v>
          </cell>
          <cell r="AA16">
            <v>13.800000000000008</v>
          </cell>
          <cell r="AB16" t="e">
            <v>#DIV/0!</v>
          </cell>
          <cell r="AC16" t="e">
            <v>#DIV/0!</v>
          </cell>
          <cell r="AD16">
            <v>0</v>
          </cell>
          <cell r="AE16">
            <v>0</v>
          </cell>
          <cell r="AF16">
            <v>16.5</v>
          </cell>
          <cell r="AG16" t="e">
            <v>#DIV/0!</v>
          </cell>
          <cell r="AH16" t="e">
            <v>#DIV/0!</v>
          </cell>
          <cell r="AI16">
            <v>0</v>
          </cell>
          <cell r="AJ16">
            <v>0</v>
          </cell>
          <cell r="AK16">
            <v>18.2</v>
          </cell>
          <cell r="AL16" t="e">
            <v>#DIV/0!</v>
          </cell>
          <cell r="AM16" t="e">
            <v>#DIV/0!</v>
          </cell>
          <cell r="AN16">
            <v>0</v>
          </cell>
          <cell r="AO16">
            <v>0</v>
          </cell>
          <cell r="AP16">
            <v>17.899999999999991</v>
          </cell>
          <cell r="AQ16" t="e">
            <v>#DIV/0!</v>
          </cell>
          <cell r="AR16" t="e">
            <v>#DIV/0!</v>
          </cell>
          <cell r="AS16">
            <v>0</v>
          </cell>
          <cell r="AT16">
            <v>0</v>
          </cell>
          <cell r="AU16">
            <v>13.699999999999992</v>
          </cell>
          <cell r="AV16" t="e">
            <v>#DIV/0!</v>
          </cell>
          <cell r="AW16" t="e">
            <v>#DIV/0!</v>
          </cell>
          <cell r="AX16">
            <v>0</v>
          </cell>
          <cell r="AY16">
            <v>0</v>
          </cell>
          <cell r="AZ16">
            <v>8.8000000000000043</v>
          </cell>
          <cell r="BA16" t="e">
            <v>#DIV/0!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0.3559322033898305</v>
          </cell>
          <cell r="BM16">
            <v>7.9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 t="e">
            <v>#DIV/0!</v>
          </cell>
          <cell r="O17">
            <v>0</v>
          </cell>
          <cell r="P17">
            <v>0</v>
          </cell>
          <cell r="Q17">
            <v>3.3032258064516129</v>
          </cell>
          <cell r="R17" t="e">
            <v>#DIV/0!</v>
          </cell>
          <cell r="S17" t="e">
            <v>#DIV/0!</v>
          </cell>
          <cell r="T17">
            <v>0</v>
          </cell>
          <cell r="U17">
            <v>0</v>
          </cell>
          <cell r="V17">
            <v>7.5500000000000007</v>
          </cell>
          <cell r="W17" t="e">
            <v>#DIV/0!</v>
          </cell>
          <cell r="X17" t="e">
            <v>#DIV/0!</v>
          </cell>
          <cell r="Y17">
            <v>0</v>
          </cell>
          <cell r="Z17">
            <v>0</v>
          </cell>
          <cell r="AA17">
            <v>12.95483870967742</v>
          </cell>
          <cell r="AB17" t="e">
            <v>#DIV/0!</v>
          </cell>
          <cell r="AC17" t="e">
            <v>#DIV/0!</v>
          </cell>
          <cell r="AD17">
            <v>0</v>
          </cell>
          <cell r="AE17">
            <v>0</v>
          </cell>
          <cell r="AF17">
            <v>15.81</v>
          </cell>
          <cell r="AG17" t="e">
            <v>#DIV/0!</v>
          </cell>
          <cell r="AH17" t="e">
            <v>#DIV/0!</v>
          </cell>
          <cell r="AI17">
            <v>0</v>
          </cell>
          <cell r="AJ17">
            <v>0</v>
          </cell>
          <cell r="AK17">
            <v>17.525806451612908</v>
          </cell>
          <cell r="AL17" t="e">
            <v>#DIV/0!</v>
          </cell>
          <cell r="AM17" t="e">
            <v>#DIV/0!</v>
          </cell>
          <cell r="AN17">
            <v>0</v>
          </cell>
          <cell r="AO17">
            <v>0</v>
          </cell>
          <cell r="AP17">
            <v>17.219354838709684</v>
          </cell>
          <cell r="AQ17" t="e">
            <v>#DIV/0!</v>
          </cell>
          <cell r="AR17" t="e">
            <v>#DIV/0!</v>
          </cell>
          <cell r="AS17">
            <v>0</v>
          </cell>
          <cell r="AT17">
            <v>0</v>
          </cell>
          <cell r="AU17">
            <v>13.010000000000002</v>
          </cell>
          <cell r="AV17" t="e">
            <v>#DIV/0!</v>
          </cell>
          <cell r="AW17" t="e">
            <v>#DIV/0!</v>
          </cell>
          <cell r="AX17">
            <v>0</v>
          </cell>
          <cell r="AY17">
            <v>0</v>
          </cell>
          <cell r="AZ17">
            <v>7.9935483870967738</v>
          </cell>
          <cell r="BA17" t="e">
            <v>#DIV/0!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0.74406779661016964</v>
          </cell>
          <cell r="BM17">
            <v>11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0</v>
          </cell>
          <cell r="O21">
            <v>0</v>
          </cell>
          <cell r="P21">
            <v>0</v>
          </cell>
          <cell r="Q21">
            <v>4.599999999999997</v>
          </cell>
          <cell r="R21">
            <v>-4.599999999999997</v>
          </cell>
          <cell r="S21">
            <v>0</v>
          </cell>
          <cell r="T21">
            <v>0</v>
          </cell>
          <cell r="U21">
            <v>0</v>
          </cell>
          <cell r="V21">
            <v>8.6999999999999957</v>
          </cell>
          <cell r="W21">
            <v>-8.6999999999999957</v>
          </cell>
          <cell r="X21">
            <v>0</v>
          </cell>
          <cell r="Y21">
            <v>0</v>
          </cell>
          <cell r="Z21">
            <v>0</v>
          </cell>
          <cell r="AA21">
            <v>14</v>
          </cell>
          <cell r="AB21">
            <v>-14</v>
          </cell>
          <cell r="AC21">
            <v>0</v>
          </cell>
          <cell r="AD21">
            <v>0</v>
          </cell>
          <cell r="AE21">
            <v>0</v>
          </cell>
          <cell r="AF21">
            <v>16.800000000000008</v>
          </cell>
          <cell r="AG21">
            <v>-16.800000000000008</v>
          </cell>
          <cell r="AH21">
            <v>0</v>
          </cell>
          <cell r="AI21">
            <v>0</v>
          </cell>
          <cell r="AJ21">
            <v>0</v>
          </cell>
          <cell r="AK21">
            <v>18.7</v>
          </cell>
          <cell r="AL21">
            <v>-18.7</v>
          </cell>
          <cell r="AM21">
            <v>0</v>
          </cell>
          <cell r="AN21">
            <v>0</v>
          </cell>
          <cell r="AO21">
            <v>0</v>
          </cell>
          <cell r="AP21">
            <v>18.5</v>
          </cell>
          <cell r="AQ21">
            <v>-18.5</v>
          </cell>
          <cell r="AR21">
            <v>0</v>
          </cell>
          <cell r="AS21">
            <v>0</v>
          </cell>
          <cell r="AT21">
            <v>0</v>
          </cell>
          <cell r="AU21">
            <v>14.100000000000005</v>
          </cell>
          <cell r="AV21">
            <v>-14.100000000000005</v>
          </cell>
          <cell r="AW21">
            <v>0</v>
          </cell>
          <cell r="AX21">
            <v>0</v>
          </cell>
          <cell r="AY21">
            <v>0</v>
          </cell>
          <cell r="AZ21">
            <v>9</v>
          </cell>
          <cell r="BA21">
            <v>-9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0.29590163934426233</v>
          </cell>
          <cell r="BM21">
            <v>12.8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 t="e">
            <v>#DIV/0!</v>
          </cell>
          <cell r="O22" t="e">
            <v>#DIV/0!</v>
          </cell>
          <cell r="P22" t="e">
            <v>#DIV/0!</v>
          </cell>
          <cell r="Q22">
            <v>3.383333333333336</v>
          </cell>
          <cell r="R22" t="e">
            <v>#DIV/0!</v>
          </cell>
          <cell r="S22" t="e">
            <v>#DIV/0!</v>
          </cell>
          <cell r="T22" t="e">
            <v>#DIV/0!</v>
          </cell>
          <cell r="U22" t="e">
            <v>#DIV/0!</v>
          </cell>
          <cell r="V22">
            <v>7.6166666666666689</v>
          </cell>
          <cell r="W22" t="e">
            <v>#DIV/0!</v>
          </cell>
          <cell r="X22" t="e">
            <v>#DIV/0!</v>
          </cell>
          <cell r="Y22" t="e">
            <v>#DIV/0!</v>
          </cell>
          <cell r="Z22" t="e">
            <v>#DIV/0!</v>
          </cell>
          <cell r="AA22">
            <v>13.016666666666657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>
            <v>15.800000000000008</v>
          </cell>
          <cell r="AG22" t="e">
            <v>#DIV/0!</v>
          </cell>
          <cell r="AH22" t="e">
            <v>#DIV/0!</v>
          </cell>
          <cell r="AI22" t="e">
            <v>#DIV/0!</v>
          </cell>
          <cell r="AJ22" t="e">
            <v>#DIV/0!</v>
          </cell>
          <cell r="AK22">
            <v>17.583333333333329</v>
          </cell>
          <cell r="AL22" t="e">
            <v>#DIV/0!</v>
          </cell>
          <cell r="AM22" t="e">
            <v>#DIV/0!</v>
          </cell>
          <cell r="AN22" t="e">
            <v>#DIV/0!</v>
          </cell>
          <cell r="AO22" t="e">
            <v>#DIV/0!</v>
          </cell>
          <cell r="AP22">
            <v>17.31666666666667</v>
          </cell>
          <cell r="AQ22" t="e">
            <v>#DIV/0!</v>
          </cell>
          <cell r="AR22" t="e">
            <v>#DIV/0!</v>
          </cell>
          <cell r="AS22" t="e">
            <v>#DIV/0!</v>
          </cell>
          <cell r="AT22" t="e">
            <v>#DIV/0!</v>
          </cell>
          <cell r="AU22">
            <v>13.033333333333342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>
            <v>8.1500000000000039</v>
          </cell>
          <cell r="BA22" t="e">
            <v>#DIV/0!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0</v>
          </cell>
          <cell r="O23">
            <v>0</v>
          </cell>
          <cell r="P23">
            <v>0</v>
          </cell>
          <cell r="Q23">
            <v>2.9000000000000008</v>
          </cell>
          <cell r="R23">
            <v>-2.9000000000000008</v>
          </cell>
          <cell r="S23">
            <v>0</v>
          </cell>
          <cell r="T23">
            <v>0</v>
          </cell>
          <cell r="U23">
            <v>0</v>
          </cell>
          <cell r="V23">
            <v>7</v>
          </cell>
          <cell r="W23">
            <v>-7</v>
          </cell>
          <cell r="X23">
            <v>0</v>
          </cell>
          <cell r="Y23">
            <v>0</v>
          </cell>
          <cell r="Z23">
            <v>0</v>
          </cell>
          <cell r="AA23">
            <v>12.399999999999995</v>
          </cell>
          <cell r="AB23">
            <v>-12.399999999999995</v>
          </cell>
          <cell r="AC23">
            <v>0</v>
          </cell>
          <cell r="AD23">
            <v>0</v>
          </cell>
          <cell r="AE23">
            <v>0</v>
          </cell>
          <cell r="AF23">
            <v>15.300000000000008</v>
          </cell>
          <cell r="AG23">
            <v>-15.300000000000008</v>
          </cell>
          <cell r="AH23">
            <v>0</v>
          </cell>
          <cell r="AI23">
            <v>0</v>
          </cell>
          <cell r="AJ23">
            <v>0</v>
          </cell>
          <cell r="AK23">
            <v>17.100000000000009</v>
          </cell>
          <cell r="AL23">
            <v>-17.100000000000009</v>
          </cell>
          <cell r="AM23">
            <v>0</v>
          </cell>
          <cell r="AN23">
            <v>0</v>
          </cell>
          <cell r="AO23">
            <v>0</v>
          </cell>
          <cell r="AP23">
            <v>16.800000000000004</v>
          </cell>
          <cell r="AQ23">
            <v>-16.800000000000004</v>
          </cell>
          <cell r="AR23">
            <v>0</v>
          </cell>
          <cell r="AS23">
            <v>0</v>
          </cell>
          <cell r="AT23">
            <v>0</v>
          </cell>
          <cell r="AU23">
            <v>12.5</v>
          </cell>
          <cell r="AV23">
            <v>-12.5</v>
          </cell>
          <cell r="AW23">
            <v>0</v>
          </cell>
          <cell r="AX23">
            <v>0</v>
          </cell>
          <cell r="AY23">
            <v>0</v>
          </cell>
          <cell r="AZ23">
            <v>7.5</v>
          </cell>
          <cell r="BA23">
            <v>-7.5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4.1803278688524598E-2</v>
          </cell>
          <cell r="BM23">
            <v>11.2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 t="e">
            <v>#DIV/0!</v>
          </cell>
          <cell r="O24">
            <v>0</v>
          </cell>
          <cell r="P24">
            <v>0</v>
          </cell>
          <cell r="Q24">
            <v>3.3032258064516129</v>
          </cell>
          <cell r="R24" t="e">
            <v>#DIV/0!</v>
          </cell>
          <cell r="S24" t="e">
            <v>#DIV/0!</v>
          </cell>
          <cell r="T24">
            <v>0</v>
          </cell>
          <cell r="U24">
            <v>0</v>
          </cell>
          <cell r="V24">
            <v>7.5500000000000007</v>
          </cell>
          <cell r="W24" t="e">
            <v>#DIV/0!</v>
          </cell>
          <cell r="X24" t="e">
            <v>#DIV/0!</v>
          </cell>
          <cell r="Y24">
            <v>0</v>
          </cell>
          <cell r="Z24">
            <v>0</v>
          </cell>
          <cell r="AA24">
            <v>12.95483870967742</v>
          </cell>
          <cell r="AB24" t="e">
            <v>#DIV/0!</v>
          </cell>
          <cell r="AC24" t="e">
            <v>#DIV/0!</v>
          </cell>
          <cell r="AD24">
            <v>0</v>
          </cell>
          <cell r="AE24">
            <v>0</v>
          </cell>
          <cell r="AF24">
            <v>15.81</v>
          </cell>
          <cell r="AG24" t="e">
            <v>#DIV/0!</v>
          </cell>
          <cell r="AH24" t="e">
            <v>#DIV/0!</v>
          </cell>
          <cell r="AI24">
            <v>0</v>
          </cell>
          <cell r="AJ24">
            <v>0</v>
          </cell>
          <cell r="AK24">
            <v>17.525806451612908</v>
          </cell>
          <cell r="AL24" t="e">
            <v>#DIV/0!</v>
          </cell>
          <cell r="AM24" t="e">
            <v>#DIV/0!</v>
          </cell>
          <cell r="AN24">
            <v>0</v>
          </cell>
          <cell r="AO24">
            <v>0</v>
          </cell>
          <cell r="AP24">
            <v>17.219354838709684</v>
          </cell>
          <cell r="AQ24" t="e">
            <v>#DIV/0!</v>
          </cell>
          <cell r="AR24" t="e">
            <v>#DIV/0!</v>
          </cell>
          <cell r="AS24">
            <v>0</v>
          </cell>
          <cell r="AT24">
            <v>0</v>
          </cell>
          <cell r="AU24">
            <v>13.010000000000002</v>
          </cell>
          <cell r="AV24" t="e">
            <v>#DIV/0!</v>
          </cell>
          <cell r="AW24" t="e">
            <v>#DIV/0!</v>
          </cell>
          <cell r="AX24">
            <v>0</v>
          </cell>
          <cell r="AY24">
            <v>0</v>
          </cell>
          <cell r="AZ24">
            <v>7.9935483870967738</v>
          </cell>
          <cell r="BA24" t="e">
            <v>#DIV/0!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0.74406779661016964</v>
          </cell>
          <cell r="BM24">
            <v>11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 t="e">
            <v>#DIV/0!</v>
          </cell>
          <cell r="O25">
            <v>0</v>
          </cell>
          <cell r="P25">
            <v>0</v>
          </cell>
          <cell r="Q25">
            <v>3.3032258064516129</v>
          </cell>
          <cell r="R25" t="e">
            <v>#DIV/0!</v>
          </cell>
          <cell r="S25" t="e">
            <v>#DIV/0!</v>
          </cell>
          <cell r="T25">
            <v>0</v>
          </cell>
          <cell r="U25">
            <v>0</v>
          </cell>
          <cell r="V25">
            <v>7.5500000000000007</v>
          </cell>
          <cell r="W25" t="e">
            <v>#DIV/0!</v>
          </cell>
          <cell r="X25" t="e">
            <v>#DIV/0!</v>
          </cell>
          <cell r="Y25">
            <v>0</v>
          </cell>
          <cell r="Z25">
            <v>0</v>
          </cell>
          <cell r="AA25">
            <v>12.95483870967742</v>
          </cell>
          <cell r="AB25" t="e">
            <v>#DIV/0!</v>
          </cell>
          <cell r="AC25" t="e">
            <v>#DIV/0!</v>
          </cell>
          <cell r="AD25">
            <v>0</v>
          </cell>
          <cell r="AE25">
            <v>0</v>
          </cell>
          <cell r="AF25">
            <v>15.81</v>
          </cell>
          <cell r="AG25" t="e">
            <v>#DIV/0!</v>
          </cell>
          <cell r="AH25" t="e">
            <v>#DIV/0!</v>
          </cell>
          <cell r="AI25">
            <v>0</v>
          </cell>
          <cell r="AJ25">
            <v>0</v>
          </cell>
          <cell r="AK25">
            <v>17.525806451612908</v>
          </cell>
          <cell r="AL25" t="e">
            <v>#DIV/0!</v>
          </cell>
          <cell r="AM25" t="e">
            <v>#DIV/0!</v>
          </cell>
          <cell r="AN25">
            <v>0</v>
          </cell>
          <cell r="AO25">
            <v>0</v>
          </cell>
          <cell r="AP25">
            <v>17.219354838709684</v>
          </cell>
          <cell r="AQ25" t="e">
            <v>#DIV/0!</v>
          </cell>
          <cell r="AR25" t="e">
            <v>#DIV/0!</v>
          </cell>
          <cell r="AS25">
            <v>0</v>
          </cell>
          <cell r="AT25">
            <v>0</v>
          </cell>
          <cell r="AU25">
            <v>13.010000000000002</v>
          </cell>
          <cell r="AV25" t="e">
            <v>#DIV/0!</v>
          </cell>
          <cell r="AW25" t="e">
            <v>#DIV/0!</v>
          </cell>
          <cell r="AX25">
            <v>0</v>
          </cell>
          <cell r="AY25">
            <v>0</v>
          </cell>
          <cell r="AZ25">
            <v>7.9935483870967738</v>
          </cell>
          <cell r="BA25" t="e">
            <v>#DIV/0!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0.74406779661016964</v>
          </cell>
          <cell r="BM25">
            <v>11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42621557.004484408</v>
          </cell>
          <cell r="E53">
            <v>453141773.78571427</v>
          </cell>
        </row>
        <row r="54">
          <cell r="A54">
            <v>42041</v>
          </cell>
          <cell r="B54" t="str">
            <v>pátek</v>
          </cell>
          <cell r="D54">
            <v>41002694.837526165</v>
          </cell>
          <cell r="E54">
            <v>435971091.78571427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0</v>
          </cell>
          <cell r="E78">
            <v>0</v>
          </cell>
        </row>
        <row r="79">
          <cell r="A79">
            <v>42065</v>
          </cell>
          <cell r="B79" t="str">
            <v>pondělí</v>
          </cell>
          <cell r="D79">
            <v>0</v>
          </cell>
          <cell r="E79">
            <v>0</v>
          </cell>
        </row>
        <row r="80">
          <cell r="A80">
            <v>42066</v>
          </cell>
          <cell r="B80" t="str">
            <v>úterý</v>
          </cell>
          <cell r="D80">
            <v>0</v>
          </cell>
          <cell r="E80">
            <v>0</v>
          </cell>
        </row>
        <row r="81">
          <cell r="A81">
            <v>42067</v>
          </cell>
          <cell r="B81" t="str">
            <v>středa</v>
          </cell>
          <cell r="D81">
            <v>0</v>
          </cell>
          <cell r="E81">
            <v>0</v>
          </cell>
        </row>
        <row r="82">
          <cell r="A82">
            <v>42068</v>
          </cell>
          <cell r="B82" t="str">
            <v>čtvrtek</v>
          </cell>
          <cell r="D82">
            <v>0</v>
          </cell>
          <cell r="E82">
            <v>0</v>
          </cell>
        </row>
        <row r="83">
          <cell r="A83">
            <v>42069</v>
          </cell>
          <cell r="B83" t="str">
            <v>pátek</v>
          </cell>
          <cell r="D83">
            <v>0</v>
          </cell>
          <cell r="E83">
            <v>0</v>
          </cell>
        </row>
        <row r="84">
          <cell r="A84">
            <v>42070</v>
          </cell>
          <cell r="B84" t="str">
            <v>sobota</v>
          </cell>
          <cell r="D84">
            <v>0</v>
          </cell>
          <cell r="E84">
            <v>0</v>
          </cell>
        </row>
        <row r="85">
          <cell r="A85">
            <v>42071</v>
          </cell>
          <cell r="B85" t="str">
            <v>neděle</v>
          </cell>
          <cell r="D85">
            <v>0</v>
          </cell>
          <cell r="E85">
            <v>0</v>
          </cell>
        </row>
        <row r="86">
          <cell r="A86">
            <v>42072</v>
          </cell>
          <cell r="B86" t="str">
            <v>pondělí</v>
          </cell>
          <cell r="D86">
            <v>0</v>
          </cell>
          <cell r="E86">
            <v>0</v>
          </cell>
        </row>
        <row r="87">
          <cell r="A87">
            <v>42073</v>
          </cell>
          <cell r="B87" t="str">
            <v>úterý</v>
          </cell>
          <cell r="D87">
            <v>0</v>
          </cell>
          <cell r="E87">
            <v>0</v>
          </cell>
        </row>
        <row r="88">
          <cell r="A88">
            <v>42074</v>
          </cell>
          <cell r="B88" t="str">
            <v>středa</v>
          </cell>
          <cell r="D88">
            <v>0</v>
          </cell>
          <cell r="E88">
            <v>0</v>
          </cell>
        </row>
        <row r="89">
          <cell r="A89">
            <v>42075</v>
          </cell>
          <cell r="B89" t="str">
            <v>čtvrtek</v>
          </cell>
          <cell r="D89">
            <v>0</v>
          </cell>
          <cell r="E89">
            <v>0</v>
          </cell>
        </row>
        <row r="90">
          <cell r="A90">
            <v>42076</v>
          </cell>
          <cell r="B90" t="str">
            <v>pátek</v>
          </cell>
          <cell r="D90">
            <v>0</v>
          </cell>
          <cell r="E90">
            <v>0</v>
          </cell>
        </row>
        <row r="91">
          <cell r="A91">
            <v>42077</v>
          </cell>
          <cell r="B91" t="str">
            <v>sobota</v>
          </cell>
          <cell r="D91">
            <v>0</v>
          </cell>
          <cell r="E91">
            <v>0</v>
          </cell>
        </row>
        <row r="92">
          <cell r="A92">
            <v>42078</v>
          </cell>
          <cell r="B92" t="str">
            <v>neděle</v>
          </cell>
          <cell r="D92">
            <v>0</v>
          </cell>
          <cell r="E92">
            <v>0</v>
          </cell>
        </row>
        <row r="93">
          <cell r="A93">
            <v>42079</v>
          </cell>
          <cell r="B93" t="str">
            <v>pondělí</v>
          </cell>
          <cell r="D93">
            <v>0</v>
          </cell>
          <cell r="E93">
            <v>0</v>
          </cell>
        </row>
        <row r="94">
          <cell r="A94">
            <v>42080</v>
          </cell>
          <cell r="B94" t="str">
            <v>úterý</v>
          </cell>
          <cell r="D94">
            <v>0</v>
          </cell>
          <cell r="E94">
            <v>0</v>
          </cell>
        </row>
        <row r="95">
          <cell r="A95">
            <v>42081</v>
          </cell>
          <cell r="B95" t="str">
            <v>středa</v>
          </cell>
          <cell r="D95">
            <v>0</v>
          </cell>
          <cell r="E95">
            <v>0</v>
          </cell>
        </row>
        <row r="96">
          <cell r="A96">
            <v>42082</v>
          </cell>
          <cell r="B96" t="str">
            <v>čtvrtek</v>
          </cell>
          <cell r="D96">
            <v>0</v>
          </cell>
          <cell r="E96">
            <v>0</v>
          </cell>
        </row>
        <row r="97">
          <cell r="A97">
            <v>42083</v>
          </cell>
          <cell r="B97" t="str">
            <v>pátek</v>
          </cell>
          <cell r="D97">
            <v>0</v>
          </cell>
          <cell r="E97">
            <v>0</v>
          </cell>
        </row>
        <row r="98">
          <cell r="A98">
            <v>42084</v>
          </cell>
          <cell r="B98" t="str">
            <v>sobota</v>
          </cell>
          <cell r="D98">
            <v>0</v>
          </cell>
          <cell r="E98">
            <v>0</v>
          </cell>
        </row>
        <row r="99">
          <cell r="A99">
            <v>42085</v>
          </cell>
          <cell r="B99" t="str">
            <v>neděle</v>
          </cell>
          <cell r="D99">
            <v>0</v>
          </cell>
          <cell r="E99">
            <v>0</v>
          </cell>
        </row>
        <row r="100">
          <cell r="A100">
            <v>42086</v>
          </cell>
          <cell r="B100" t="str">
            <v>pondělí</v>
          </cell>
          <cell r="D100">
            <v>0</v>
          </cell>
          <cell r="E100">
            <v>0</v>
          </cell>
        </row>
        <row r="101">
          <cell r="A101">
            <v>42087</v>
          </cell>
          <cell r="B101" t="str">
            <v>úterý</v>
          </cell>
          <cell r="D101">
            <v>0</v>
          </cell>
          <cell r="E101">
            <v>0</v>
          </cell>
        </row>
        <row r="102">
          <cell r="A102">
            <v>42088</v>
          </cell>
          <cell r="B102" t="str">
            <v>středa</v>
          </cell>
          <cell r="D102">
            <v>0</v>
          </cell>
          <cell r="E102">
            <v>0</v>
          </cell>
        </row>
        <row r="103">
          <cell r="A103">
            <v>42089</v>
          </cell>
          <cell r="B103" t="str">
            <v>čtvrtek</v>
          </cell>
          <cell r="D103">
            <v>0</v>
          </cell>
          <cell r="E103">
            <v>0</v>
          </cell>
        </row>
        <row r="104">
          <cell r="A104">
            <v>42090</v>
          </cell>
          <cell r="B104" t="str">
            <v>pátek</v>
          </cell>
          <cell r="D104">
            <v>0</v>
          </cell>
          <cell r="E104">
            <v>0</v>
          </cell>
        </row>
        <row r="105">
          <cell r="A105">
            <v>42091</v>
          </cell>
          <cell r="B105" t="str">
            <v>sobota</v>
          </cell>
          <cell r="D105">
            <v>0</v>
          </cell>
          <cell r="E105">
            <v>0</v>
          </cell>
        </row>
        <row r="106">
          <cell r="A106">
            <v>42092</v>
          </cell>
          <cell r="B106" t="str">
            <v>neděle</v>
          </cell>
          <cell r="D106">
            <v>0</v>
          </cell>
          <cell r="E106">
            <v>0</v>
          </cell>
        </row>
        <row r="107">
          <cell r="A107">
            <v>42093</v>
          </cell>
          <cell r="B107" t="str">
            <v>pondělí</v>
          </cell>
          <cell r="D107">
            <v>0</v>
          </cell>
          <cell r="E107">
            <v>0</v>
          </cell>
        </row>
        <row r="108">
          <cell r="A108">
            <v>42094</v>
          </cell>
          <cell r="B108" t="str">
            <v>úterý</v>
          </cell>
          <cell r="D108">
            <v>0</v>
          </cell>
          <cell r="E108">
            <v>0</v>
          </cell>
        </row>
        <row r="109">
          <cell r="A109">
            <v>42095</v>
          </cell>
          <cell r="B109" t="str">
            <v>středa</v>
          </cell>
          <cell r="D109">
            <v>0</v>
          </cell>
          <cell r="E109">
            <v>0</v>
          </cell>
        </row>
        <row r="110">
          <cell r="A110">
            <v>42096</v>
          </cell>
          <cell r="B110" t="str">
            <v>čtvrtek</v>
          </cell>
          <cell r="D110">
            <v>0</v>
          </cell>
          <cell r="E110">
            <v>0</v>
          </cell>
        </row>
        <row r="111">
          <cell r="A111">
            <v>42097</v>
          </cell>
          <cell r="B111" t="str">
            <v>pátek</v>
          </cell>
          <cell r="D111">
            <v>0</v>
          </cell>
          <cell r="E111">
            <v>0</v>
          </cell>
        </row>
        <row r="112">
          <cell r="A112">
            <v>42098</v>
          </cell>
          <cell r="B112" t="str">
            <v>sobota</v>
          </cell>
          <cell r="D112">
            <v>0</v>
          </cell>
          <cell r="E112">
            <v>0</v>
          </cell>
        </row>
        <row r="113">
          <cell r="A113">
            <v>42099</v>
          </cell>
          <cell r="B113" t="str">
            <v>neděle</v>
          </cell>
          <cell r="D113">
            <v>0</v>
          </cell>
          <cell r="E113">
            <v>0</v>
          </cell>
        </row>
        <row r="114">
          <cell r="A114">
            <v>42100</v>
          </cell>
          <cell r="B114" t="str">
            <v>pondělí</v>
          </cell>
          <cell r="D114">
            <v>0</v>
          </cell>
          <cell r="E114">
            <v>0</v>
          </cell>
        </row>
        <row r="115">
          <cell r="A115">
            <v>42101</v>
          </cell>
          <cell r="B115" t="str">
            <v>úterý</v>
          </cell>
          <cell r="D115">
            <v>0</v>
          </cell>
          <cell r="E115">
            <v>0</v>
          </cell>
        </row>
        <row r="116">
          <cell r="A116">
            <v>42102</v>
          </cell>
          <cell r="B116" t="str">
            <v>středa</v>
          </cell>
          <cell r="D116">
            <v>0</v>
          </cell>
          <cell r="E116">
            <v>0</v>
          </cell>
        </row>
        <row r="117">
          <cell r="A117">
            <v>42103</v>
          </cell>
          <cell r="B117" t="str">
            <v>čtvrtek</v>
          </cell>
          <cell r="D117">
            <v>0</v>
          </cell>
          <cell r="E117">
            <v>0</v>
          </cell>
        </row>
        <row r="118">
          <cell r="A118">
            <v>42104</v>
          </cell>
          <cell r="B118" t="str">
            <v>pátek</v>
          </cell>
          <cell r="D118">
            <v>0</v>
          </cell>
          <cell r="E118">
            <v>0</v>
          </cell>
        </row>
        <row r="119">
          <cell r="A119">
            <v>42105</v>
          </cell>
          <cell r="B119" t="str">
            <v>sobota</v>
          </cell>
          <cell r="D119">
            <v>0</v>
          </cell>
          <cell r="E119">
            <v>0</v>
          </cell>
        </row>
        <row r="120">
          <cell r="A120">
            <v>42106</v>
          </cell>
          <cell r="B120" t="str">
            <v>neděle</v>
          </cell>
          <cell r="D120">
            <v>0</v>
          </cell>
          <cell r="E120">
            <v>0</v>
          </cell>
        </row>
        <row r="121">
          <cell r="A121">
            <v>42107</v>
          </cell>
          <cell r="B121" t="str">
            <v>pondělí</v>
          </cell>
          <cell r="D121">
            <v>0</v>
          </cell>
          <cell r="E121">
            <v>0</v>
          </cell>
        </row>
        <row r="122">
          <cell r="A122">
            <v>42108</v>
          </cell>
          <cell r="B122" t="str">
            <v>úterý</v>
          </cell>
          <cell r="D122">
            <v>0</v>
          </cell>
          <cell r="E122">
            <v>0</v>
          </cell>
        </row>
        <row r="123">
          <cell r="A123">
            <v>42109</v>
          </cell>
          <cell r="B123" t="str">
            <v>středa</v>
          </cell>
          <cell r="D123">
            <v>0</v>
          </cell>
          <cell r="E123">
            <v>0</v>
          </cell>
        </row>
        <row r="124">
          <cell r="A124">
            <v>42110</v>
          </cell>
          <cell r="B124" t="str">
            <v>čtvrtek</v>
          </cell>
          <cell r="D124">
            <v>0</v>
          </cell>
          <cell r="E124">
            <v>0</v>
          </cell>
        </row>
        <row r="125">
          <cell r="A125">
            <v>42111</v>
          </cell>
          <cell r="B125" t="str">
            <v>pátek</v>
          </cell>
          <cell r="D125">
            <v>0</v>
          </cell>
          <cell r="E125">
            <v>0</v>
          </cell>
        </row>
        <row r="126">
          <cell r="A126">
            <v>42112</v>
          </cell>
          <cell r="B126" t="str">
            <v>sobota</v>
          </cell>
          <cell r="D126">
            <v>0</v>
          </cell>
          <cell r="E126">
            <v>0</v>
          </cell>
        </row>
        <row r="127">
          <cell r="A127">
            <v>42113</v>
          </cell>
          <cell r="B127" t="str">
            <v>neděle</v>
          </cell>
          <cell r="D127">
            <v>0</v>
          </cell>
          <cell r="E127">
            <v>0</v>
          </cell>
        </row>
        <row r="128">
          <cell r="A128">
            <v>42114</v>
          </cell>
          <cell r="B128" t="str">
            <v>pondělí</v>
          </cell>
          <cell r="D128">
            <v>0</v>
          </cell>
          <cell r="E128">
            <v>0</v>
          </cell>
        </row>
        <row r="129">
          <cell r="A129">
            <v>42115</v>
          </cell>
          <cell r="B129" t="str">
            <v>úterý</v>
          </cell>
          <cell r="D129">
            <v>0</v>
          </cell>
          <cell r="E129">
            <v>0</v>
          </cell>
        </row>
        <row r="130">
          <cell r="A130">
            <v>42116</v>
          </cell>
          <cell r="B130" t="str">
            <v>středa</v>
          </cell>
          <cell r="D130">
            <v>0</v>
          </cell>
          <cell r="E130">
            <v>0</v>
          </cell>
        </row>
        <row r="131">
          <cell r="A131">
            <v>42117</v>
          </cell>
          <cell r="B131" t="str">
            <v>čtvrtek</v>
          </cell>
          <cell r="D131">
            <v>0</v>
          </cell>
          <cell r="E131">
            <v>0</v>
          </cell>
        </row>
        <row r="132">
          <cell r="A132">
            <v>42118</v>
          </cell>
          <cell r="B132" t="str">
            <v>pátek</v>
          </cell>
          <cell r="D132">
            <v>0</v>
          </cell>
          <cell r="E132">
            <v>0</v>
          </cell>
        </row>
        <row r="133">
          <cell r="A133">
            <v>42119</v>
          </cell>
          <cell r="B133" t="str">
            <v>sobota</v>
          </cell>
          <cell r="D133">
            <v>0</v>
          </cell>
          <cell r="E133">
            <v>0</v>
          </cell>
        </row>
        <row r="134">
          <cell r="A134">
            <v>42120</v>
          </cell>
          <cell r="B134" t="str">
            <v>neděle</v>
          </cell>
          <cell r="D134">
            <v>0</v>
          </cell>
          <cell r="E134">
            <v>0</v>
          </cell>
        </row>
        <row r="135">
          <cell r="A135">
            <v>42121</v>
          </cell>
          <cell r="B135" t="str">
            <v>pondělí</v>
          </cell>
          <cell r="D135">
            <v>0</v>
          </cell>
          <cell r="E135">
            <v>0</v>
          </cell>
        </row>
        <row r="136">
          <cell r="A136">
            <v>42122</v>
          </cell>
          <cell r="B136" t="str">
            <v>úterý</v>
          </cell>
          <cell r="D136">
            <v>0</v>
          </cell>
          <cell r="E136">
            <v>0</v>
          </cell>
        </row>
        <row r="137">
          <cell r="A137">
            <v>42123</v>
          </cell>
          <cell r="B137" t="str">
            <v>středa</v>
          </cell>
          <cell r="D137">
            <v>0</v>
          </cell>
          <cell r="E137">
            <v>0</v>
          </cell>
        </row>
        <row r="138">
          <cell r="A138">
            <v>42124</v>
          </cell>
          <cell r="B138" t="str">
            <v>čtvrtek</v>
          </cell>
          <cell r="D138">
            <v>0</v>
          </cell>
          <cell r="E138">
            <v>0</v>
          </cell>
        </row>
        <row r="139">
          <cell r="A139">
            <v>42125</v>
          </cell>
          <cell r="B139" t="str">
            <v>pátek</v>
          </cell>
          <cell r="D139">
            <v>0</v>
          </cell>
          <cell r="E139">
            <v>0</v>
          </cell>
        </row>
        <row r="140">
          <cell r="A140">
            <v>42126</v>
          </cell>
          <cell r="B140" t="str">
            <v>sobota</v>
          </cell>
          <cell r="D140">
            <v>0</v>
          </cell>
          <cell r="E140">
            <v>0</v>
          </cell>
        </row>
        <row r="141">
          <cell r="A141">
            <v>42127</v>
          </cell>
          <cell r="B141" t="str">
            <v>neděle</v>
          </cell>
          <cell r="D141">
            <v>0</v>
          </cell>
          <cell r="E141">
            <v>0</v>
          </cell>
        </row>
        <row r="142">
          <cell r="A142">
            <v>42128</v>
          </cell>
          <cell r="B142" t="str">
            <v>pondělí</v>
          </cell>
          <cell r="D142">
            <v>0</v>
          </cell>
          <cell r="E142">
            <v>0</v>
          </cell>
        </row>
        <row r="143">
          <cell r="A143">
            <v>42129</v>
          </cell>
          <cell r="B143" t="str">
            <v>úterý</v>
          </cell>
          <cell r="D143">
            <v>0</v>
          </cell>
          <cell r="E143">
            <v>0</v>
          </cell>
        </row>
        <row r="144">
          <cell r="A144">
            <v>42130</v>
          </cell>
          <cell r="B144" t="str">
            <v>středa</v>
          </cell>
          <cell r="D144">
            <v>0</v>
          </cell>
          <cell r="E144">
            <v>0</v>
          </cell>
        </row>
        <row r="145">
          <cell r="A145">
            <v>42131</v>
          </cell>
          <cell r="B145" t="str">
            <v>čtvrtek</v>
          </cell>
          <cell r="D145">
            <v>0</v>
          </cell>
          <cell r="E145">
            <v>0</v>
          </cell>
        </row>
        <row r="146">
          <cell r="A146">
            <v>42132</v>
          </cell>
          <cell r="B146" t="str">
            <v>pátek</v>
          </cell>
          <cell r="D146">
            <v>0</v>
          </cell>
          <cell r="E146">
            <v>0</v>
          </cell>
        </row>
        <row r="147">
          <cell r="A147">
            <v>42133</v>
          </cell>
          <cell r="B147" t="str">
            <v>sobota</v>
          </cell>
          <cell r="D147">
            <v>0</v>
          </cell>
          <cell r="E147">
            <v>0</v>
          </cell>
        </row>
        <row r="148">
          <cell r="A148">
            <v>42134</v>
          </cell>
          <cell r="B148" t="str">
            <v>neděle</v>
          </cell>
          <cell r="D148">
            <v>0</v>
          </cell>
          <cell r="E148">
            <v>0</v>
          </cell>
        </row>
        <row r="149">
          <cell r="A149">
            <v>42135</v>
          </cell>
          <cell r="B149" t="str">
            <v>pondělí</v>
          </cell>
          <cell r="D149">
            <v>0</v>
          </cell>
          <cell r="E149">
            <v>0</v>
          </cell>
        </row>
        <row r="150">
          <cell r="A150">
            <v>42136</v>
          </cell>
          <cell r="B150" t="str">
            <v>úterý</v>
          </cell>
          <cell r="D150">
            <v>0</v>
          </cell>
          <cell r="E150">
            <v>0</v>
          </cell>
        </row>
        <row r="151">
          <cell r="A151">
            <v>42137</v>
          </cell>
          <cell r="B151" t="str">
            <v>středa</v>
          </cell>
          <cell r="D151">
            <v>0</v>
          </cell>
          <cell r="E151">
            <v>0</v>
          </cell>
        </row>
        <row r="152">
          <cell r="A152">
            <v>42138</v>
          </cell>
          <cell r="B152" t="str">
            <v>čtvrtek</v>
          </cell>
          <cell r="D152">
            <v>0</v>
          </cell>
          <cell r="E152">
            <v>0</v>
          </cell>
        </row>
        <row r="153">
          <cell r="A153">
            <v>42139</v>
          </cell>
          <cell r="B153" t="str">
            <v>pátek</v>
          </cell>
          <cell r="D153">
            <v>0</v>
          </cell>
          <cell r="E153">
            <v>0</v>
          </cell>
        </row>
        <row r="154">
          <cell r="A154">
            <v>42140</v>
          </cell>
          <cell r="B154" t="str">
            <v>sobota</v>
          </cell>
          <cell r="D154">
            <v>0</v>
          </cell>
          <cell r="E154">
            <v>0</v>
          </cell>
        </row>
        <row r="155">
          <cell r="A155">
            <v>42141</v>
          </cell>
          <cell r="B155" t="str">
            <v>neděle</v>
          </cell>
          <cell r="D155">
            <v>0</v>
          </cell>
          <cell r="E155">
            <v>0</v>
          </cell>
        </row>
        <row r="156">
          <cell r="A156">
            <v>42142</v>
          </cell>
          <cell r="B156" t="str">
            <v>pondělí</v>
          </cell>
          <cell r="D156">
            <v>0</v>
          </cell>
          <cell r="E156">
            <v>0</v>
          </cell>
        </row>
        <row r="157">
          <cell r="A157">
            <v>42143</v>
          </cell>
          <cell r="B157" t="str">
            <v>úterý</v>
          </cell>
          <cell r="D157">
            <v>0</v>
          </cell>
          <cell r="E157">
            <v>0</v>
          </cell>
        </row>
        <row r="158">
          <cell r="A158">
            <v>42144</v>
          </cell>
          <cell r="B158" t="str">
            <v>středa</v>
          </cell>
          <cell r="D158">
            <v>0</v>
          </cell>
          <cell r="E158">
            <v>0</v>
          </cell>
        </row>
        <row r="159">
          <cell r="A159">
            <v>42145</v>
          </cell>
          <cell r="B159" t="str">
            <v>čtvrtek</v>
          </cell>
          <cell r="D159">
            <v>0</v>
          </cell>
          <cell r="E159">
            <v>0</v>
          </cell>
        </row>
        <row r="160">
          <cell r="A160">
            <v>42146</v>
          </cell>
          <cell r="B160" t="str">
            <v>pátek</v>
          </cell>
          <cell r="D160">
            <v>0</v>
          </cell>
          <cell r="E160">
            <v>0</v>
          </cell>
        </row>
        <row r="161">
          <cell r="A161">
            <v>42147</v>
          </cell>
          <cell r="B161" t="str">
            <v>sobota</v>
          </cell>
          <cell r="D161">
            <v>0</v>
          </cell>
          <cell r="E161">
            <v>0</v>
          </cell>
        </row>
        <row r="162">
          <cell r="A162">
            <v>42148</v>
          </cell>
          <cell r="B162" t="str">
            <v>neděle</v>
          </cell>
          <cell r="D162">
            <v>0</v>
          </cell>
          <cell r="E162">
            <v>0</v>
          </cell>
        </row>
        <row r="163">
          <cell r="A163">
            <v>42149</v>
          </cell>
          <cell r="B163" t="str">
            <v>pondělí</v>
          </cell>
          <cell r="D163">
            <v>0</v>
          </cell>
          <cell r="E163">
            <v>0</v>
          </cell>
        </row>
        <row r="164">
          <cell r="A164">
            <v>42150</v>
          </cell>
          <cell r="B164" t="str">
            <v>úterý</v>
          </cell>
          <cell r="D164">
            <v>0</v>
          </cell>
          <cell r="E164">
            <v>0</v>
          </cell>
        </row>
        <row r="165">
          <cell r="A165">
            <v>42151</v>
          </cell>
          <cell r="B165" t="str">
            <v>středa</v>
          </cell>
          <cell r="D165">
            <v>0</v>
          </cell>
          <cell r="E165">
            <v>0</v>
          </cell>
        </row>
        <row r="166">
          <cell r="A166">
            <v>42152</v>
          </cell>
          <cell r="B166" t="str">
            <v>čtvrtek</v>
          </cell>
          <cell r="D166">
            <v>0</v>
          </cell>
          <cell r="E166">
            <v>0</v>
          </cell>
        </row>
        <row r="167">
          <cell r="A167">
            <v>42153</v>
          </cell>
          <cell r="B167" t="str">
            <v>pátek</v>
          </cell>
          <cell r="D167">
            <v>0</v>
          </cell>
          <cell r="E167">
            <v>0</v>
          </cell>
        </row>
        <row r="168">
          <cell r="A168">
            <v>42154</v>
          </cell>
          <cell r="B168" t="str">
            <v>sobota</v>
          </cell>
          <cell r="D168">
            <v>0</v>
          </cell>
          <cell r="E168">
            <v>0</v>
          </cell>
        </row>
        <row r="169">
          <cell r="A169">
            <v>42155</v>
          </cell>
          <cell r="B169" t="str">
            <v>neděle</v>
          </cell>
          <cell r="D169">
            <v>0</v>
          </cell>
          <cell r="E169">
            <v>0</v>
          </cell>
        </row>
        <row r="170">
          <cell r="A170">
            <v>42156</v>
          </cell>
          <cell r="B170" t="str">
            <v>pondělí</v>
          </cell>
          <cell r="D170">
            <v>0</v>
          </cell>
          <cell r="E170">
            <v>0</v>
          </cell>
        </row>
        <row r="171">
          <cell r="A171">
            <v>42157</v>
          </cell>
          <cell r="B171" t="str">
            <v>úterý</v>
          </cell>
          <cell r="D171">
            <v>0</v>
          </cell>
          <cell r="E171">
            <v>0</v>
          </cell>
        </row>
        <row r="172">
          <cell r="A172">
            <v>42158</v>
          </cell>
          <cell r="B172" t="str">
            <v>středa</v>
          </cell>
          <cell r="D172">
            <v>0</v>
          </cell>
          <cell r="E172">
            <v>0</v>
          </cell>
        </row>
        <row r="173">
          <cell r="A173">
            <v>42159</v>
          </cell>
          <cell r="B173" t="str">
            <v>čtvrtek</v>
          </cell>
          <cell r="D173">
            <v>0</v>
          </cell>
          <cell r="E173">
            <v>0</v>
          </cell>
        </row>
        <row r="174">
          <cell r="A174">
            <v>42160</v>
          </cell>
          <cell r="B174" t="str">
            <v>pátek</v>
          </cell>
          <cell r="D174">
            <v>0</v>
          </cell>
          <cell r="E174">
            <v>0</v>
          </cell>
        </row>
        <row r="175">
          <cell r="A175">
            <v>42161</v>
          </cell>
          <cell r="B175" t="str">
            <v>sobota</v>
          </cell>
          <cell r="D175">
            <v>0</v>
          </cell>
          <cell r="E175">
            <v>0</v>
          </cell>
        </row>
        <row r="176">
          <cell r="A176">
            <v>42162</v>
          </cell>
          <cell r="B176" t="str">
            <v>neděle</v>
          </cell>
          <cell r="D176">
            <v>0</v>
          </cell>
          <cell r="E176">
            <v>0</v>
          </cell>
        </row>
        <row r="177">
          <cell r="A177">
            <v>42163</v>
          </cell>
          <cell r="B177" t="str">
            <v>pondělí</v>
          </cell>
          <cell r="D177">
            <v>0</v>
          </cell>
          <cell r="E177">
            <v>0</v>
          </cell>
        </row>
        <row r="178">
          <cell r="A178">
            <v>42164</v>
          </cell>
          <cell r="B178" t="str">
            <v>úterý</v>
          </cell>
          <cell r="D178">
            <v>0</v>
          </cell>
          <cell r="E178">
            <v>0</v>
          </cell>
        </row>
        <row r="179">
          <cell r="A179">
            <v>42165</v>
          </cell>
          <cell r="B179" t="str">
            <v>středa</v>
          </cell>
          <cell r="D179">
            <v>0</v>
          </cell>
          <cell r="E179">
            <v>0</v>
          </cell>
        </row>
        <row r="180">
          <cell r="A180">
            <v>42166</v>
          </cell>
          <cell r="B180" t="str">
            <v>čtvrtek</v>
          </cell>
          <cell r="D180">
            <v>0</v>
          </cell>
          <cell r="E180">
            <v>0</v>
          </cell>
        </row>
        <row r="181">
          <cell r="A181">
            <v>42167</v>
          </cell>
          <cell r="B181" t="str">
            <v>pátek</v>
          </cell>
          <cell r="D181">
            <v>0</v>
          </cell>
          <cell r="E181">
            <v>0</v>
          </cell>
        </row>
        <row r="182">
          <cell r="A182">
            <v>42168</v>
          </cell>
          <cell r="B182" t="str">
            <v>sobota</v>
          </cell>
          <cell r="D182">
            <v>0</v>
          </cell>
          <cell r="E182">
            <v>0</v>
          </cell>
        </row>
        <row r="183">
          <cell r="A183">
            <v>42169</v>
          </cell>
          <cell r="B183" t="str">
            <v>neděle</v>
          </cell>
          <cell r="D183">
            <v>0</v>
          </cell>
          <cell r="E183">
            <v>0</v>
          </cell>
        </row>
        <row r="184">
          <cell r="A184">
            <v>42170</v>
          </cell>
          <cell r="B184" t="str">
            <v>pondělí</v>
          </cell>
          <cell r="D184">
            <v>0</v>
          </cell>
          <cell r="E184">
            <v>0</v>
          </cell>
        </row>
        <row r="185">
          <cell r="A185">
            <v>42171</v>
          </cell>
          <cell r="B185" t="str">
            <v>úterý</v>
          </cell>
          <cell r="D185">
            <v>0</v>
          </cell>
          <cell r="E185">
            <v>0</v>
          </cell>
        </row>
        <row r="186">
          <cell r="A186">
            <v>42172</v>
          </cell>
          <cell r="B186" t="str">
            <v>středa</v>
          </cell>
          <cell r="D186">
            <v>0</v>
          </cell>
          <cell r="E186">
            <v>0</v>
          </cell>
        </row>
        <row r="187">
          <cell r="A187">
            <v>42173</v>
          </cell>
          <cell r="B187" t="str">
            <v>čtvrtek</v>
          </cell>
          <cell r="D187">
            <v>0</v>
          </cell>
          <cell r="E187">
            <v>0</v>
          </cell>
        </row>
        <row r="188">
          <cell r="A188">
            <v>42174</v>
          </cell>
          <cell r="B188" t="str">
            <v>pátek</v>
          </cell>
          <cell r="D188">
            <v>0</v>
          </cell>
          <cell r="E188">
            <v>0</v>
          </cell>
        </row>
        <row r="189">
          <cell r="A189">
            <v>42175</v>
          </cell>
          <cell r="B189" t="str">
            <v>sobota</v>
          </cell>
          <cell r="D189">
            <v>0</v>
          </cell>
          <cell r="E189">
            <v>0</v>
          </cell>
        </row>
        <row r="190">
          <cell r="A190">
            <v>42176</v>
          </cell>
          <cell r="B190" t="str">
            <v>neděle</v>
          </cell>
          <cell r="D190">
            <v>0</v>
          </cell>
          <cell r="E190">
            <v>0</v>
          </cell>
        </row>
        <row r="191">
          <cell r="A191">
            <v>42177</v>
          </cell>
          <cell r="B191" t="str">
            <v>pondělí</v>
          </cell>
          <cell r="D191">
            <v>0</v>
          </cell>
          <cell r="E191">
            <v>0</v>
          </cell>
        </row>
        <row r="192">
          <cell r="A192">
            <v>42178</v>
          </cell>
          <cell r="B192" t="str">
            <v>úterý</v>
          </cell>
          <cell r="D192">
            <v>0</v>
          </cell>
          <cell r="E192">
            <v>0</v>
          </cell>
        </row>
        <row r="193">
          <cell r="A193">
            <v>42179</v>
          </cell>
          <cell r="B193" t="str">
            <v>středa</v>
          </cell>
          <cell r="D193">
            <v>0</v>
          </cell>
          <cell r="E193">
            <v>0</v>
          </cell>
        </row>
        <row r="194">
          <cell r="A194">
            <v>42180</v>
          </cell>
          <cell r="B194" t="str">
            <v>čtvrtek</v>
          </cell>
          <cell r="D194">
            <v>0</v>
          </cell>
          <cell r="E194">
            <v>0</v>
          </cell>
        </row>
        <row r="195">
          <cell r="A195">
            <v>42181</v>
          </cell>
          <cell r="B195" t="str">
            <v>pátek</v>
          </cell>
          <cell r="D195">
            <v>0</v>
          </cell>
          <cell r="E195">
            <v>0</v>
          </cell>
        </row>
        <row r="196">
          <cell r="A196">
            <v>42182</v>
          </cell>
          <cell r="B196" t="str">
            <v>sobota</v>
          </cell>
          <cell r="D196">
            <v>0</v>
          </cell>
          <cell r="E196">
            <v>0</v>
          </cell>
        </row>
        <row r="197">
          <cell r="A197">
            <v>42183</v>
          </cell>
          <cell r="B197" t="str">
            <v>neděle</v>
          </cell>
          <cell r="D197">
            <v>0</v>
          </cell>
          <cell r="E197">
            <v>0</v>
          </cell>
        </row>
        <row r="198">
          <cell r="A198">
            <v>42184</v>
          </cell>
          <cell r="B198" t="str">
            <v>pondělí</v>
          </cell>
          <cell r="D198">
            <v>0</v>
          </cell>
          <cell r="E198">
            <v>0</v>
          </cell>
        </row>
        <row r="199">
          <cell r="A199">
            <v>42185</v>
          </cell>
          <cell r="B199" t="str">
            <v>úterý</v>
          </cell>
          <cell r="D199">
            <v>0</v>
          </cell>
          <cell r="E199">
            <v>0</v>
          </cell>
        </row>
        <row r="200">
          <cell r="A200">
            <v>42186</v>
          </cell>
          <cell r="B200" t="str">
            <v>středa</v>
          </cell>
          <cell r="D200">
            <v>0</v>
          </cell>
          <cell r="E200">
            <v>0</v>
          </cell>
        </row>
        <row r="201">
          <cell r="A201">
            <v>42187</v>
          </cell>
          <cell r="B201" t="str">
            <v>čtvrtek</v>
          </cell>
          <cell r="D201">
            <v>0</v>
          </cell>
          <cell r="E201">
            <v>0</v>
          </cell>
        </row>
        <row r="202">
          <cell r="A202">
            <v>42188</v>
          </cell>
          <cell r="B202" t="str">
            <v>pátek</v>
          </cell>
          <cell r="D202">
            <v>0</v>
          </cell>
          <cell r="E202">
            <v>0</v>
          </cell>
        </row>
        <row r="203">
          <cell r="A203">
            <v>42189</v>
          </cell>
          <cell r="B203" t="str">
            <v>sobota</v>
          </cell>
          <cell r="D203">
            <v>0</v>
          </cell>
          <cell r="E203">
            <v>0</v>
          </cell>
        </row>
        <row r="204">
          <cell r="A204">
            <v>42190</v>
          </cell>
          <cell r="B204" t="str">
            <v>neděle</v>
          </cell>
          <cell r="D204">
            <v>0</v>
          </cell>
          <cell r="E204">
            <v>0</v>
          </cell>
        </row>
        <row r="205">
          <cell r="A205">
            <v>42191</v>
          </cell>
          <cell r="B205" t="str">
            <v>pondělí</v>
          </cell>
          <cell r="D205">
            <v>0</v>
          </cell>
          <cell r="E205">
            <v>0</v>
          </cell>
        </row>
        <row r="206">
          <cell r="A206">
            <v>42192</v>
          </cell>
          <cell r="B206" t="str">
            <v>úterý</v>
          </cell>
          <cell r="D206">
            <v>0</v>
          </cell>
          <cell r="E206">
            <v>0</v>
          </cell>
        </row>
        <row r="207">
          <cell r="A207">
            <v>42193</v>
          </cell>
          <cell r="B207" t="str">
            <v>středa</v>
          </cell>
          <cell r="D207">
            <v>0</v>
          </cell>
          <cell r="E207">
            <v>0</v>
          </cell>
        </row>
        <row r="208">
          <cell r="A208">
            <v>42194</v>
          </cell>
          <cell r="B208" t="str">
            <v>čtvrtek</v>
          </cell>
          <cell r="D208">
            <v>0</v>
          </cell>
          <cell r="E208">
            <v>0</v>
          </cell>
        </row>
        <row r="209">
          <cell r="A209">
            <v>42195</v>
          </cell>
          <cell r="B209" t="str">
            <v>pátek</v>
          </cell>
          <cell r="D209">
            <v>0</v>
          </cell>
          <cell r="E209">
            <v>0</v>
          </cell>
        </row>
        <row r="210">
          <cell r="A210">
            <v>42196</v>
          </cell>
          <cell r="B210" t="str">
            <v>sobota</v>
          </cell>
          <cell r="D210">
            <v>0</v>
          </cell>
          <cell r="E210">
            <v>0</v>
          </cell>
        </row>
        <row r="211">
          <cell r="A211">
            <v>42197</v>
          </cell>
          <cell r="B211" t="str">
            <v>neděle</v>
          </cell>
          <cell r="D211">
            <v>0</v>
          </cell>
          <cell r="E211">
            <v>0</v>
          </cell>
        </row>
        <row r="212">
          <cell r="A212">
            <v>42198</v>
          </cell>
          <cell r="B212" t="str">
            <v>pondělí</v>
          </cell>
          <cell r="D212">
            <v>0</v>
          </cell>
          <cell r="E212">
            <v>0</v>
          </cell>
        </row>
        <row r="213">
          <cell r="A213">
            <v>42199</v>
          </cell>
          <cell r="B213" t="str">
            <v>úterý</v>
          </cell>
          <cell r="D213">
            <v>0</v>
          </cell>
          <cell r="E213">
            <v>0</v>
          </cell>
        </row>
        <row r="214">
          <cell r="A214">
            <v>42200</v>
          </cell>
          <cell r="B214" t="str">
            <v>středa</v>
          </cell>
          <cell r="D214">
            <v>0</v>
          </cell>
          <cell r="E214">
            <v>0</v>
          </cell>
        </row>
        <row r="215">
          <cell r="A215">
            <v>42201</v>
          </cell>
          <cell r="B215" t="str">
            <v>čtvrtek</v>
          </cell>
          <cell r="D215">
            <v>0</v>
          </cell>
          <cell r="E215">
            <v>0</v>
          </cell>
        </row>
        <row r="216">
          <cell r="A216">
            <v>42202</v>
          </cell>
          <cell r="B216" t="str">
            <v>pátek</v>
          </cell>
          <cell r="D216">
            <v>0</v>
          </cell>
          <cell r="E216">
            <v>0</v>
          </cell>
        </row>
        <row r="217">
          <cell r="A217">
            <v>42203</v>
          </cell>
          <cell r="B217" t="str">
            <v>sobota</v>
          </cell>
          <cell r="D217">
            <v>0</v>
          </cell>
          <cell r="E217">
            <v>0</v>
          </cell>
        </row>
        <row r="218">
          <cell r="A218">
            <v>42204</v>
          </cell>
          <cell r="B218" t="str">
            <v>neděle</v>
          </cell>
          <cell r="D218">
            <v>0</v>
          </cell>
          <cell r="E218">
            <v>0</v>
          </cell>
        </row>
        <row r="219">
          <cell r="A219">
            <v>42205</v>
          </cell>
          <cell r="B219" t="str">
            <v>pondělí</v>
          </cell>
          <cell r="D219">
            <v>0</v>
          </cell>
          <cell r="E219">
            <v>0</v>
          </cell>
        </row>
        <row r="220">
          <cell r="A220">
            <v>42206</v>
          </cell>
          <cell r="B220" t="str">
            <v>úterý</v>
          </cell>
          <cell r="D220">
            <v>0</v>
          </cell>
          <cell r="E220">
            <v>0</v>
          </cell>
        </row>
        <row r="221">
          <cell r="A221">
            <v>42207</v>
          </cell>
          <cell r="B221" t="str">
            <v>středa</v>
          </cell>
          <cell r="D221">
            <v>0</v>
          </cell>
          <cell r="E221">
            <v>0</v>
          </cell>
        </row>
        <row r="222">
          <cell r="A222">
            <v>42208</v>
          </cell>
          <cell r="B222" t="str">
            <v>čtvrtek</v>
          </cell>
          <cell r="D222">
            <v>0</v>
          </cell>
          <cell r="E222">
            <v>0</v>
          </cell>
        </row>
        <row r="223">
          <cell r="A223">
            <v>42209</v>
          </cell>
          <cell r="B223" t="str">
            <v>pátek</v>
          </cell>
          <cell r="D223">
            <v>0</v>
          </cell>
          <cell r="E223">
            <v>0</v>
          </cell>
        </row>
        <row r="224">
          <cell r="A224">
            <v>42210</v>
          </cell>
          <cell r="B224" t="str">
            <v>sobota</v>
          </cell>
          <cell r="D224">
            <v>0</v>
          </cell>
          <cell r="E224">
            <v>0</v>
          </cell>
        </row>
        <row r="225">
          <cell r="A225">
            <v>42211</v>
          </cell>
          <cell r="B225" t="str">
            <v>neděle</v>
          </cell>
          <cell r="D225">
            <v>0</v>
          </cell>
          <cell r="E225">
            <v>0</v>
          </cell>
        </row>
        <row r="226">
          <cell r="A226">
            <v>42212</v>
          </cell>
          <cell r="B226" t="str">
            <v>pondělí</v>
          </cell>
          <cell r="D226">
            <v>0</v>
          </cell>
          <cell r="E226">
            <v>0</v>
          </cell>
        </row>
        <row r="227">
          <cell r="A227">
            <v>42213</v>
          </cell>
          <cell r="B227" t="str">
            <v>úterý</v>
          </cell>
          <cell r="D227">
            <v>0</v>
          </cell>
          <cell r="E227">
            <v>0</v>
          </cell>
        </row>
        <row r="228">
          <cell r="A228">
            <v>42214</v>
          </cell>
          <cell r="B228" t="str">
            <v>středa</v>
          </cell>
          <cell r="D228">
            <v>0</v>
          </cell>
          <cell r="E228">
            <v>0</v>
          </cell>
        </row>
        <row r="229">
          <cell r="A229">
            <v>42215</v>
          </cell>
          <cell r="B229" t="str">
            <v>čtvrtek</v>
          </cell>
          <cell r="D229">
            <v>0</v>
          </cell>
          <cell r="E229">
            <v>0</v>
          </cell>
        </row>
        <row r="230">
          <cell r="A230">
            <v>42216</v>
          </cell>
          <cell r="B230" t="str">
            <v>pátek</v>
          </cell>
          <cell r="D230">
            <v>0</v>
          </cell>
          <cell r="E230">
            <v>0</v>
          </cell>
        </row>
        <row r="231">
          <cell r="A231">
            <v>42217</v>
          </cell>
          <cell r="B231" t="str">
            <v>sobota</v>
          </cell>
          <cell r="D231">
            <v>0</v>
          </cell>
          <cell r="E231">
            <v>0</v>
          </cell>
        </row>
        <row r="232">
          <cell r="A232">
            <v>42218</v>
          </cell>
          <cell r="B232" t="str">
            <v>neděle</v>
          </cell>
          <cell r="D232">
            <v>0</v>
          </cell>
          <cell r="E232">
            <v>0</v>
          </cell>
        </row>
        <row r="233">
          <cell r="A233">
            <v>42219</v>
          </cell>
          <cell r="B233" t="str">
            <v>pondělí</v>
          </cell>
          <cell r="D233">
            <v>0</v>
          </cell>
          <cell r="E233">
            <v>0</v>
          </cell>
        </row>
        <row r="234">
          <cell r="A234">
            <v>42220</v>
          </cell>
          <cell r="B234" t="str">
            <v>úterý</v>
          </cell>
          <cell r="D234">
            <v>0</v>
          </cell>
          <cell r="E234">
            <v>0</v>
          </cell>
        </row>
        <row r="235">
          <cell r="A235">
            <v>42221</v>
          </cell>
          <cell r="B235" t="str">
            <v>středa</v>
          </cell>
          <cell r="D235">
            <v>0</v>
          </cell>
          <cell r="E235">
            <v>0</v>
          </cell>
        </row>
        <row r="236">
          <cell r="A236">
            <v>42222</v>
          </cell>
          <cell r="B236" t="str">
            <v>čtvrtek</v>
          </cell>
          <cell r="D236">
            <v>0</v>
          </cell>
          <cell r="E236">
            <v>0</v>
          </cell>
        </row>
        <row r="237">
          <cell r="A237">
            <v>42223</v>
          </cell>
          <cell r="B237" t="str">
            <v>pátek</v>
          </cell>
          <cell r="D237">
            <v>0</v>
          </cell>
          <cell r="E237">
            <v>0</v>
          </cell>
        </row>
        <row r="238">
          <cell r="A238">
            <v>42224</v>
          </cell>
          <cell r="B238" t="str">
            <v>sobota</v>
          </cell>
          <cell r="D238">
            <v>0</v>
          </cell>
          <cell r="E238">
            <v>0</v>
          </cell>
        </row>
        <row r="239">
          <cell r="A239">
            <v>42225</v>
          </cell>
          <cell r="B239" t="str">
            <v>neděle</v>
          </cell>
          <cell r="D239">
            <v>0</v>
          </cell>
          <cell r="E239">
            <v>0</v>
          </cell>
        </row>
        <row r="240">
          <cell r="A240">
            <v>42226</v>
          </cell>
          <cell r="B240" t="str">
            <v>pondělí</v>
          </cell>
          <cell r="D240">
            <v>0</v>
          </cell>
          <cell r="E240">
            <v>0</v>
          </cell>
        </row>
        <row r="241">
          <cell r="A241">
            <v>42227</v>
          </cell>
          <cell r="B241" t="str">
            <v>úterý</v>
          </cell>
          <cell r="D241">
            <v>0</v>
          </cell>
          <cell r="E241">
            <v>0</v>
          </cell>
        </row>
        <row r="242">
          <cell r="A242">
            <v>42228</v>
          </cell>
          <cell r="B242" t="str">
            <v>středa</v>
          </cell>
          <cell r="D242">
            <v>0</v>
          </cell>
          <cell r="E242">
            <v>0</v>
          </cell>
        </row>
        <row r="243">
          <cell r="A243">
            <v>42229</v>
          </cell>
          <cell r="B243" t="str">
            <v>čtvrtek</v>
          </cell>
          <cell r="D243">
            <v>0</v>
          </cell>
          <cell r="E243">
            <v>0</v>
          </cell>
        </row>
        <row r="244">
          <cell r="A244">
            <v>42230</v>
          </cell>
          <cell r="B244" t="str">
            <v>pátek</v>
          </cell>
          <cell r="D244">
            <v>0</v>
          </cell>
          <cell r="E244">
            <v>0</v>
          </cell>
        </row>
        <row r="245">
          <cell r="A245">
            <v>42231</v>
          </cell>
          <cell r="B245" t="str">
            <v>sobota</v>
          </cell>
          <cell r="D245">
            <v>0</v>
          </cell>
          <cell r="E245">
            <v>0</v>
          </cell>
        </row>
        <row r="246">
          <cell r="A246">
            <v>42232</v>
          </cell>
          <cell r="B246" t="str">
            <v>neděle</v>
          </cell>
          <cell r="D246">
            <v>0</v>
          </cell>
          <cell r="E246">
            <v>0</v>
          </cell>
        </row>
        <row r="247">
          <cell r="A247">
            <v>42233</v>
          </cell>
          <cell r="B247" t="str">
            <v>pondělí</v>
          </cell>
          <cell r="D247">
            <v>0</v>
          </cell>
          <cell r="E247">
            <v>0</v>
          </cell>
        </row>
        <row r="248">
          <cell r="A248">
            <v>42234</v>
          </cell>
          <cell r="B248" t="str">
            <v>úterý</v>
          </cell>
          <cell r="D248">
            <v>0</v>
          </cell>
          <cell r="E248">
            <v>0</v>
          </cell>
        </row>
        <row r="249">
          <cell r="A249">
            <v>42235</v>
          </cell>
          <cell r="B249" t="str">
            <v>středa</v>
          </cell>
          <cell r="D249">
            <v>0</v>
          </cell>
          <cell r="E249">
            <v>0</v>
          </cell>
        </row>
        <row r="250">
          <cell r="A250">
            <v>42236</v>
          </cell>
          <cell r="B250" t="str">
            <v>čtvrtek</v>
          </cell>
          <cell r="D250">
            <v>0</v>
          </cell>
          <cell r="E250">
            <v>0</v>
          </cell>
        </row>
        <row r="251">
          <cell r="A251">
            <v>42237</v>
          </cell>
          <cell r="B251" t="str">
            <v>pátek</v>
          </cell>
          <cell r="D251">
            <v>0</v>
          </cell>
          <cell r="E251">
            <v>0</v>
          </cell>
        </row>
        <row r="252">
          <cell r="A252">
            <v>42238</v>
          </cell>
          <cell r="B252" t="str">
            <v>sobota</v>
          </cell>
          <cell r="D252">
            <v>0</v>
          </cell>
          <cell r="E252">
            <v>0</v>
          </cell>
        </row>
        <row r="253">
          <cell r="A253">
            <v>42239</v>
          </cell>
          <cell r="B253" t="str">
            <v>neděle</v>
          </cell>
          <cell r="D253">
            <v>0</v>
          </cell>
          <cell r="E253">
            <v>0</v>
          </cell>
        </row>
        <row r="254">
          <cell r="A254">
            <v>42240</v>
          </cell>
          <cell r="B254" t="str">
            <v>pondělí</v>
          </cell>
          <cell r="D254">
            <v>0</v>
          </cell>
          <cell r="E254">
            <v>0</v>
          </cell>
        </row>
        <row r="255">
          <cell r="A255">
            <v>42241</v>
          </cell>
          <cell r="B255" t="str">
            <v>úterý</v>
          </cell>
          <cell r="D255">
            <v>0</v>
          </cell>
          <cell r="E255">
            <v>0</v>
          </cell>
        </row>
        <row r="256">
          <cell r="A256">
            <v>42242</v>
          </cell>
          <cell r="B256" t="str">
            <v>středa</v>
          </cell>
          <cell r="D256">
            <v>0</v>
          </cell>
          <cell r="E256">
            <v>0</v>
          </cell>
        </row>
        <row r="257">
          <cell r="A257">
            <v>42243</v>
          </cell>
          <cell r="B257" t="str">
            <v>čtvrtek</v>
          </cell>
          <cell r="D257">
            <v>0</v>
          </cell>
          <cell r="E257">
            <v>0</v>
          </cell>
        </row>
        <row r="258">
          <cell r="A258">
            <v>42244</v>
          </cell>
          <cell r="B258" t="str">
            <v>pátek</v>
          </cell>
          <cell r="D258">
            <v>0</v>
          </cell>
          <cell r="E258">
            <v>0</v>
          </cell>
        </row>
        <row r="259">
          <cell r="A259">
            <v>42245</v>
          </cell>
          <cell r="B259" t="str">
            <v>sobota</v>
          </cell>
          <cell r="D259">
            <v>0</v>
          </cell>
          <cell r="E259">
            <v>0</v>
          </cell>
        </row>
        <row r="260">
          <cell r="A260">
            <v>42246</v>
          </cell>
          <cell r="B260" t="str">
            <v>neděle</v>
          </cell>
          <cell r="D260">
            <v>0</v>
          </cell>
          <cell r="E260">
            <v>0</v>
          </cell>
        </row>
        <row r="261">
          <cell r="A261">
            <v>42247</v>
          </cell>
          <cell r="B261" t="str">
            <v>pondělí</v>
          </cell>
          <cell r="D261">
            <v>0</v>
          </cell>
          <cell r="E261">
            <v>0</v>
          </cell>
        </row>
        <row r="262">
          <cell r="A262">
            <v>42248</v>
          </cell>
          <cell r="B262" t="str">
            <v>úterý</v>
          </cell>
          <cell r="D262">
            <v>0</v>
          </cell>
          <cell r="E262">
            <v>0</v>
          </cell>
        </row>
        <row r="263">
          <cell r="A263">
            <v>42249</v>
          </cell>
          <cell r="B263" t="str">
            <v>středa</v>
          </cell>
          <cell r="D263">
            <v>0</v>
          </cell>
          <cell r="E263">
            <v>0</v>
          </cell>
        </row>
        <row r="264">
          <cell r="A264">
            <v>42250</v>
          </cell>
          <cell r="B264" t="str">
            <v>čtvrtek</v>
          </cell>
          <cell r="D264">
            <v>0</v>
          </cell>
          <cell r="E264">
            <v>0</v>
          </cell>
        </row>
        <row r="265">
          <cell r="A265">
            <v>42251</v>
          </cell>
          <cell r="B265" t="str">
            <v>pátek</v>
          </cell>
          <cell r="D265">
            <v>0</v>
          </cell>
          <cell r="E265">
            <v>0</v>
          </cell>
        </row>
        <row r="266">
          <cell r="A266">
            <v>42252</v>
          </cell>
          <cell r="B266" t="str">
            <v>sobota</v>
          </cell>
          <cell r="D266">
            <v>0</v>
          </cell>
          <cell r="E266">
            <v>0</v>
          </cell>
        </row>
        <row r="267">
          <cell r="A267">
            <v>42253</v>
          </cell>
          <cell r="B267" t="str">
            <v>neděle</v>
          </cell>
          <cell r="D267">
            <v>0</v>
          </cell>
          <cell r="E267">
            <v>0</v>
          </cell>
        </row>
        <row r="268">
          <cell r="A268">
            <v>42254</v>
          </cell>
          <cell r="B268" t="str">
            <v>pondělí</v>
          </cell>
          <cell r="D268">
            <v>0</v>
          </cell>
          <cell r="E268">
            <v>0</v>
          </cell>
        </row>
        <row r="269">
          <cell r="A269">
            <v>42255</v>
          </cell>
          <cell r="B269" t="str">
            <v>úterý</v>
          </cell>
          <cell r="D269">
            <v>0</v>
          </cell>
          <cell r="E269">
            <v>0</v>
          </cell>
        </row>
        <row r="270">
          <cell r="A270">
            <v>42256</v>
          </cell>
          <cell r="B270" t="str">
            <v>středa</v>
          </cell>
          <cell r="D270">
            <v>0</v>
          </cell>
          <cell r="E270">
            <v>0</v>
          </cell>
        </row>
        <row r="271">
          <cell r="A271">
            <v>42257</v>
          </cell>
          <cell r="B271" t="str">
            <v>čtvrtek</v>
          </cell>
          <cell r="D271">
            <v>0</v>
          </cell>
          <cell r="E271">
            <v>0</v>
          </cell>
        </row>
        <row r="272">
          <cell r="A272">
            <v>42258</v>
          </cell>
          <cell r="B272" t="str">
            <v>pátek</v>
          </cell>
          <cell r="D272">
            <v>0</v>
          </cell>
          <cell r="E272">
            <v>0</v>
          </cell>
        </row>
        <row r="273">
          <cell r="A273">
            <v>42259</v>
          </cell>
          <cell r="B273" t="str">
            <v>sobota</v>
          </cell>
          <cell r="D273">
            <v>0</v>
          </cell>
          <cell r="E273">
            <v>0</v>
          </cell>
        </row>
        <row r="274">
          <cell r="A274">
            <v>42260</v>
          </cell>
          <cell r="B274" t="str">
            <v>neděle</v>
          </cell>
          <cell r="D274">
            <v>0</v>
          </cell>
          <cell r="E274">
            <v>0</v>
          </cell>
        </row>
        <row r="275">
          <cell r="A275">
            <v>42261</v>
          </cell>
          <cell r="B275" t="str">
            <v>pondělí</v>
          </cell>
          <cell r="D275">
            <v>0</v>
          </cell>
          <cell r="E275">
            <v>0</v>
          </cell>
        </row>
        <row r="276">
          <cell r="A276">
            <v>42262</v>
          </cell>
          <cell r="B276" t="str">
            <v>úterý</v>
          </cell>
          <cell r="D276">
            <v>0</v>
          </cell>
          <cell r="E276">
            <v>0</v>
          </cell>
        </row>
        <row r="277">
          <cell r="A277">
            <v>42263</v>
          </cell>
          <cell r="B277" t="str">
            <v>středa</v>
          </cell>
          <cell r="D277">
            <v>0</v>
          </cell>
          <cell r="E277">
            <v>0</v>
          </cell>
        </row>
        <row r="278">
          <cell r="A278">
            <v>42264</v>
          </cell>
          <cell r="B278" t="str">
            <v>čtvrtek</v>
          </cell>
          <cell r="D278">
            <v>0</v>
          </cell>
          <cell r="E278">
            <v>0</v>
          </cell>
        </row>
        <row r="279">
          <cell r="A279">
            <v>42265</v>
          </cell>
          <cell r="B279" t="str">
            <v>pátek</v>
          </cell>
          <cell r="D279">
            <v>0</v>
          </cell>
          <cell r="E279">
            <v>0</v>
          </cell>
        </row>
        <row r="280">
          <cell r="A280">
            <v>42266</v>
          </cell>
          <cell r="B280" t="str">
            <v>sobota</v>
          </cell>
          <cell r="D280">
            <v>0</v>
          </cell>
          <cell r="E280">
            <v>0</v>
          </cell>
        </row>
        <row r="281">
          <cell r="A281">
            <v>42267</v>
          </cell>
          <cell r="B281" t="str">
            <v>neděle</v>
          </cell>
          <cell r="D281">
            <v>0</v>
          </cell>
          <cell r="E281">
            <v>0</v>
          </cell>
        </row>
        <row r="282">
          <cell r="A282">
            <v>42268</v>
          </cell>
          <cell r="B282" t="str">
            <v>pondělí</v>
          </cell>
          <cell r="D282">
            <v>0</v>
          </cell>
          <cell r="E282">
            <v>0</v>
          </cell>
        </row>
        <row r="283">
          <cell r="A283">
            <v>42269</v>
          </cell>
          <cell r="B283" t="str">
            <v>úterý</v>
          </cell>
          <cell r="D283">
            <v>0</v>
          </cell>
          <cell r="E283">
            <v>0</v>
          </cell>
        </row>
        <row r="284">
          <cell r="A284">
            <v>42270</v>
          </cell>
          <cell r="B284" t="str">
            <v>středa</v>
          </cell>
          <cell r="D284">
            <v>0</v>
          </cell>
          <cell r="E284">
            <v>0</v>
          </cell>
        </row>
        <row r="285">
          <cell r="A285">
            <v>42271</v>
          </cell>
          <cell r="B285" t="str">
            <v>čtvrtek</v>
          </cell>
          <cell r="D285">
            <v>0</v>
          </cell>
          <cell r="E285">
            <v>0</v>
          </cell>
        </row>
        <row r="286">
          <cell r="A286">
            <v>42272</v>
          </cell>
          <cell r="B286" t="str">
            <v>pátek</v>
          </cell>
          <cell r="D286">
            <v>0</v>
          </cell>
          <cell r="E286">
            <v>0</v>
          </cell>
        </row>
        <row r="287">
          <cell r="A287">
            <v>42273</v>
          </cell>
          <cell r="B287" t="str">
            <v>sobota</v>
          </cell>
          <cell r="D287">
            <v>0</v>
          </cell>
          <cell r="E287">
            <v>0</v>
          </cell>
        </row>
        <row r="288">
          <cell r="A288">
            <v>42274</v>
          </cell>
          <cell r="B288" t="str">
            <v>neděle</v>
          </cell>
          <cell r="D288">
            <v>0</v>
          </cell>
          <cell r="E288">
            <v>0</v>
          </cell>
        </row>
        <row r="289">
          <cell r="A289">
            <v>42275</v>
          </cell>
          <cell r="B289" t="str">
            <v>pondělí</v>
          </cell>
          <cell r="D289">
            <v>0</v>
          </cell>
          <cell r="E289">
            <v>0</v>
          </cell>
        </row>
        <row r="290">
          <cell r="A290">
            <v>42276</v>
          </cell>
          <cell r="B290" t="str">
            <v>úterý</v>
          </cell>
          <cell r="D290">
            <v>0</v>
          </cell>
          <cell r="E290">
            <v>0</v>
          </cell>
        </row>
        <row r="291">
          <cell r="A291">
            <v>42277</v>
          </cell>
          <cell r="B291" t="str">
            <v>středa</v>
          </cell>
          <cell r="D291">
            <v>0</v>
          </cell>
          <cell r="E291">
            <v>0</v>
          </cell>
        </row>
        <row r="292">
          <cell r="A292">
            <v>42278</v>
          </cell>
          <cell r="B292" t="str">
            <v>čtvrtek</v>
          </cell>
          <cell r="D292">
            <v>0</v>
          </cell>
          <cell r="E292">
            <v>0</v>
          </cell>
        </row>
        <row r="293">
          <cell r="A293">
            <v>42279</v>
          </cell>
          <cell r="B293" t="str">
            <v>pátek</v>
          </cell>
          <cell r="D293">
            <v>0</v>
          </cell>
          <cell r="E293">
            <v>0</v>
          </cell>
        </row>
        <row r="294">
          <cell r="A294">
            <v>42280</v>
          </cell>
          <cell r="B294" t="str">
            <v>sobota</v>
          </cell>
          <cell r="D294">
            <v>0</v>
          </cell>
          <cell r="E294">
            <v>0</v>
          </cell>
        </row>
        <row r="295">
          <cell r="A295">
            <v>42281</v>
          </cell>
          <cell r="B295" t="str">
            <v>neděle</v>
          </cell>
          <cell r="D295">
            <v>0</v>
          </cell>
          <cell r="E295">
            <v>0</v>
          </cell>
        </row>
        <row r="296">
          <cell r="A296">
            <v>42282</v>
          </cell>
          <cell r="B296" t="str">
            <v>pondělí</v>
          </cell>
          <cell r="D296">
            <v>0</v>
          </cell>
          <cell r="E296">
            <v>0</v>
          </cell>
        </row>
        <row r="297">
          <cell r="A297">
            <v>42283</v>
          </cell>
          <cell r="B297" t="str">
            <v>úterý</v>
          </cell>
          <cell r="D297">
            <v>0</v>
          </cell>
          <cell r="E297">
            <v>0</v>
          </cell>
        </row>
        <row r="298">
          <cell r="A298">
            <v>42284</v>
          </cell>
          <cell r="B298" t="str">
            <v>středa</v>
          </cell>
          <cell r="D298">
            <v>0</v>
          </cell>
          <cell r="E298">
            <v>0</v>
          </cell>
        </row>
        <row r="299">
          <cell r="A299">
            <v>42285</v>
          </cell>
          <cell r="B299" t="str">
            <v>čtvrtek</v>
          </cell>
          <cell r="D299">
            <v>0</v>
          </cell>
          <cell r="E299">
            <v>0</v>
          </cell>
        </row>
        <row r="300">
          <cell r="A300">
            <v>42286</v>
          </cell>
          <cell r="B300" t="str">
            <v>pátek</v>
          </cell>
          <cell r="D300">
            <v>0</v>
          </cell>
          <cell r="E300">
            <v>0</v>
          </cell>
        </row>
        <row r="301">
          <cell r="A301">
            <v>42287</v>
          </cell>
          <cell r="B301" t="str">
            <v>sobota</v>
          </cell>
          <cell r="D301">
            <v>0</v>
          </cell>
          <cell r="E301">
            <v>0</v>
          </cell>
        </row>
        <row r="302">
          <cell r="A302">
            <v>42288</v>
          </cell>
          <cell r="B302" t="str">
            <v>neděle</v>
          </cell>
          <cell r="D302">
            <v>0</v>
          </cell>
          <cell r="E302">
            <v>0</v>
          </cell>
        </row>
        <row r="303">
          <cell r="A303">
            <v>42289</v>
          </cell>
          <cell r="B303" t="str">
            <v>pondělí</v>
          </cell>
          <cell r="D303">
            <v>0</v>
          </cell>
          <cell r="E303">
            <v>0</v>
          </cell>
        </row>
        <row r="304">
          <cell r="A304">
            <v>42290</v>
          </cell>
          <cell r="B304" t="str">
            <v>úterý</v>
          </cell>
          <cell r="D304">
            <v>0</v>
          </cell>
          <cell r="E304">
            <v>0</v>
          </cell>
        </row>
        <row r="305">
          <cell r="A305">
            <v>42291</v>
          </cell>
          <cell r="B305" t="str">
            <v>středa</v>
          </cell>
          <cell r="D305">
            <v>0</v>
          </cell>
          <cell r="E305">
            <v>0</v>
          </cell>
        </row>
        <row r="306">
          <cell r="A306">
            <v>42292</v>
          </cell>
          <cell r="B306" t="str">
            <v>čtvrtek</v>
          </cell>
          <cell r="D306">
            <v>0</v>
          </cell>
          <cell r="E306">
            <v>0</v>
          </cell>
        </row>
        <row r="307">
          <cell r="A307">
            <v>42293</v>
          </cell>
          <cell r="B307" t="str">
            <v>pátek</v>
          </cell>
          <cell r="D307">
            <v>0</v>
          </cell>
          <cell r="E307">
            <v>0</v>
          </cell>
        </row>
        <row r="308">
          <cell r="A308">
            <v>42294</v>
          </cell>
          <cell r="B308" t="str">
            <v>sobota</v>
          </cell>
          <cell r="D308">
            <v>0</v>
          </cell>
          <cell r="E308">
            <v>0</v>
          </cell>
        </row>
        <row r="309">
          <cell r="A309">
            <v>42295</v>
          </cell>
          <cell r="B309" t="str">
            <v>neděle</v>
          </cell>
          <cell r="D309">
            <v>0</v>
          </cell>
          <cell r="E309">
            <v>0</v>
          </cell>
        </row>
        <row r="310">
          <cell r="A310">
            <v>42296</v>
          </cell>
          <cell r="B310" t="str">
            <v>pondělí</v>
          </cell>
          <cell r="D310">
            <v>0</v>
          </cell>
          <cell r="E310">
            <v>0</v>
          </cell>
        </row>
        <row r="311">
          <cell r="A311">
            <v>42297</v>
          </cell>
          <cell r="B311" t="str">
            <v>úterý</v>
          </cell>
          <cell r="D311">
            <v>0</v>
          </cell>
          <cell r="E311">
            <v>0</v>
          </cell>
        </row>
        <row r="312">
          <cell r="A312">
            <v>42298</v>
          </cell>
          <cell r="B312" t="str">
            <v>středa</v>
          </cell>
          <cell r="D312">
            <v>0</v>
          </cell>
          <cell r="E312">
            <v>0</v>
          </cell>
        </row>
        <row r="313">
          <cell r="A313">
            <v>42299</v>
          </cell>
          <cell r="B313" t="str">
            <v>čtvrtek</v>
          </cell>
          <cell r="D313">
            <v>0</v>
          </cell>
          <cell r="E313">
            <v>0</v>
          </cell>
        </row>
        <row r="314">
          <cell r="A314">
            <v>42300</v>
          </cell>
          <cell r="B314" t="str">
            <v>pátek</v>
          </cell>
          <cell r="D314">
            <v>0</v>
          </cell>
          <cell r="E314">
            <v>0</v>
          </cell>
        </row>
        <row r="315">
          <cell r="A315">
            <v>42301</v>
          </cell>
          <cell r="B315" t="str">
            <v>sobota</v>
          </cell>
          <cell r="D315">
            <v>0</v>
          </cell>
          <cell r="E315">
            <v>0</v>
          </cell>
        </row>
        <row r="316">
          <cell r="A316">
            <v>42302</v>
          </cell>
          <cell r="B316" t="str">
            <v>neděle</v>
          </cell>
          <cell r="D316">
            <v>0</v>
          </cell>
          <cell r="E316">
            <v>0</v>
          </cell>
        </row>
        <row r="317">
          <cell r="A317">
            <v>42303</v>
          </cell>
          <cell r="B317" t="str">
            <v>pondělí</v>
          </cell>
          <cell r="D317">
            <v>0</v>
          </cell>
          <cell r="E317">
            <v>0</v>
          </cell>
        </row>
        <row r="318">
          <cell r="A318">
            <v>42304</v>
          </cell>
          <cell r="B318" t="str">
            <v>úterý</v>
          </cell>
          <cell r="D318">
            <v>0</v>
          </cell>
          <cell r="E318">
            <v>0</v>
          </cell>
        </row>
        <row r="319">
          <cell r="A319">
            <v>42305</v>
          </cell>
          <cell r="B319" t="str">
            <v>středa</v>
          </cell>
          <cell r="D319">
            <v>0</v>
          </cell>
          <cell r="E319">
            <v>0</v>
          </cell>
        </row>
        <row r="320">
          <cell r="A320">
            <v>42306</v>
          </cell>
          <cell r="B320" t="str">
            <v>čtvrtek</v>
          </cell>
          <cell r="D320">
            <v>0</v>
          </cell>
          <cell r="E320">
            <v>0</v>
          </cell>
        </row>
        <row r="321">
          <cell r="A321">
            <v>42307</v>
          </cell>
          <cell r="B321" t="str">
            <v>pátek</v>
          </cell>
          <cell r="D321">
            <v>0</v>
          </cell>
          <cell r="E321">
            <v>0</v>
          </cell>
        </row>
        <row r="322">
          <cell r="A322">
            <v>42308</v>
          </cell>
          <cell r="B322" t="str">
            <v>sobota</v>
          </cell>
          <cell r="D322">
            <v>0</v>
          </cell>
          <cell r="E322">
            <v>0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27.784481849259485</v>
          </cell>
          <cell r="G4">
            <v>21</v>
          </cell>
          <cell r="H4">
            <v>12.903225806451603</v>
          </cell>
          <cell r="I4">
            <v>10.333333333333334</v>
          </cell>
          <cell r="J4">
            <v>9.3548387096774182</v>
          </cell>
          <cell r="K4">
            <v>9.3548387096774182</v>
          </cell>
          <cell r="L4">
            <v>12.66666666666667</v>
          </cell>
          <cell r="M4">
            <v>20.96774193548389</v>
          </cell>
          <cell r="N4">
            <v>30.666666666666654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294.51550760215054</v>
          </cell>
          <cell r="G5">
            <v>223</v>
          </cell>
          <cell r="H5">
            <v>137.09677419354833</v>
          </cell>
          <cell r="I5">
            <v>109.66666666666661</v>
          </cell>
          <cell r="J5">
            <v>99.354838709677452</v>
          </cell>
          <cell r="K5">
            <v>99.354838709677452</v>
          </cell>
          <cell r="L5">
            <v>134.6666666666666</v>
          </cell>
          <cell r="M5">
            <v>222.58064516129045</v>
          </cell>
          <cell r="N5">
            <v>325.66666666666663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1.1299287824453401</v>
          </cell>
          <cell r="G6">
            <v>1.27</v>
          </cell>
          <cell r="H6">
            <v>0.59</v>
          </cell>
          <cell r="I6">
            <v>0.25</v>
          </cell>
          <cell r="J6">
            <v>0.12</v>
          </cell>
          <cell r="K6">
            <v>0.15</v>
          </cell>
          <cell r="L6">
            <v>0.81</v>
          </cell>
          <cell r="M6">
            <v>1.05</v>
          </cell>
          <cell r="N6">
            <v>1.41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11.977245093920605</v>
          </cell>
          <cell r="G7">
            <v>13.486190476190476</v>
          </cell>
          <cell r="H7">
            <v>6.2687500000000016</v>
          </cell>
          <cell r="I7">
            <v>2.6532258064516117</v>
          </cell>
          <cell r="J7">
            <v>1.2744827586206902</v>
          </cell>
          <cell r="K7">
            <v>1.5931034482758626</v>
          </cell>
          <cell r="L7">
            <v>8.6115789473684146</v>
          </cell>
          <cell r="M7">
            <v>11.146153846153842</v>
          </cell>
          <cell r="N7">
            <v>14.973586956521745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861.31893732704407</v>
          </cell>
          <cell r="G12">
            <v>630</v>
          </cell>
          <cell r="H12">
            <v>399.99999999999972</v>
          </cell>
          <cell r="I12">
            <v>310</v>
          </cell>
          <cell r="J12">
            <v>289.99999999999994</v>
          </cell>
          <cell r="K12">
            <v>289.99999999999994</v>
          </cell>
          <cell r="L12">
            <v>380.00000000000011</v>
          </cell>
          <cell r="M12">
            <v>650.00000000000057</v>
          </cell>
          <cell r="N12">
            <v>919.99999999999966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9129.9807356666661</v>
          </cell>
          <cell r="G13">
            <v>6690</v>
          </cell>
          <cell r="H13">
            <v>4249.9999999999982</v>
          </cell>
          <cell r="I13">
            <v>3289.9999999999986</v>
          </cell>
          <cell r="J13">
            <v>3080.0000000000005</v>
          </cell>
          <cell r="K13">
            <v>3080.0000000000005</v>
          </cell>
          <cell r="L13">
            <v>4039.9999999999982</v>
          </cell>
          <cell r="M13">
            <v>6900.0000000000036</v>
          </cell>
          <cell r="N13">
            <v>9770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0.15079857852381598</v>
          </cell>
          <cell r="G14">
            <v>0.17980109242091569</v>
          </cell>
          <cell r="H14">
            <v>-8.0299873400765429E-2</v>
          </cell>
          <cell r="I14">
            <v>3.5739529451350271E-3</v>
          </cell>
          <cell r="J14">
            <v>-5.0622241546101177E-2</v>
          </cell>
          <cell r="K14">
            <v>-3.3719801942547346E-2</v>
          </cell>
          <cell r="L14">
            <v>4.1775630544058327E-2</v>
          </cell>
          <cell r="M14">
            <v>0.14713464331822171</v>
          </cell>
          <cell r="N14">
            <v>0.19952337838172249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897.28930096087993</v>
          </cell>
          <cell r="G19">
            <v>629.99999999999989</v>
          </cell>
          <cell r="H19">
            <v>399.99999999999972</v>
          </cell>
          <cell r="I19">
            <v>310.00000000000006</v>
          </cell>
          <cell r="J19">
            <v>289.99999999999994</v>
          </cell>
          <cell r="K19">
            <v>289.99999999999994</v>
          </cell>
          <cell r="L19">
            <v>380.00000000000011</v>
          </cell>
          <cell r="M19">
            <v>650.00000000000057</v>
          </cell>
          <cell r="N19">
            <v>919.99999999999966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9511.266590185327</v>
          </cell>
          <cell r="G20">
            <v>6689.9999999999982</v>
          </cell>
          <cell r="H20">
            <v>4249.9999999999982</v>
          </cell>
          <cell r="I20">
            <v>3289.9999999999991</v>
          </cell>
          <cell r="J20">
            <v>3080.0000000000005</v>
          </cell>
          <cell r="K20">
            <v>3080.0000000000005</v>
          </cell>
          <cell r="L20">
            <v>4039.9999999999977</v>
          </cell>
          <cell r="M20">
            <v>6900.0000000000036</v>
          </cell>
          <cell r="N20">
            <v>9770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4.983115911417435E-2</v>
          </cell>
          <cell r="G21">
            <v>2.9893823360551151E-2</v>
          </cell>
          <cell r="H21">
            <v>-4.8357844930724404E-2</v>
          </cell>
          <cell r="I21">
            <v>-5.0999784233565501E-3</v>
          </cell>
          <cell r="J21">
            <v>-8.8944456578703784E-2</v>
          </cell>
          <cell r="K21">
            <v>1.174754506456746E-3</v>
          </cell>
          <cell r="L21">
            <v>-2.1702167696014824E-2</v>
          </cell>
          <cell r="M21">
            <v>-4.2247033540625872E-3</v>
          </cell>
          <cell r="N21">
            <v>1.4051281827874304E-2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33.525023836477985</v>
          </cell>
          <cell r="G26">
            <v>21</v>
          </cell>
          <cell r="H26">
            <v>12.903225806451612</v>
          </cell>
          <cell r="I26">
            <v>10.333333333333334</v>
          </cell>
          <cell r="J26">
            <v>9.3548387096774199</v>
          </cell>
          <cell r="K26">
            <v>9.3548387096774199</v>
          </cell>
          <cell r="L26">
            <v>12.666666666666666</v>
          </cell>
          <cell r="M26">
            <v>20.967741935483872</v>
          </cell>
          <cell r="N26">
            <v>30.666666666666668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355.36525266666661</v>
          </cell>
          <cell r="G27">
            <v>223</v>
          </cell>
          <cell r="H27">
            <v>137.09677419354838</v>
          </cell>
          <cell r="I27">
            <v>109.66666666666667</v>
          </cell>
          <cell r="J27">
            <v>99.354838709677423</v>
          </cell>
          <cell r="K27">
            <v>99.354838709677423</v>
          </cell>
          <cell r="L27">
            <v>134.66666666666666</v>
          </cell>
          <cell r="M27">
            <v>222.58064516129033</v>
          </cell>
          <cell r="N27">
            <v>325.66666666666669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22.183712893081761</v>
          </cell>
          <cell r="G29">
            <v>21</v>
          </cell>
          <cell r="H29">
            <v>12.903225806451612</v>
          </cell>
          <cell r="I29">
            <v>10.333333333333334</v>
          </cell>
          <cell r="J29">
            <v>9.3548387096774199</v>
          </cell>
          <cell r="K29">
            <v>9.3548387096774199</v>
          </cell>
          <cell r="L29">
            <v>12.666666666666666</v>
          </cell>
          <cell r="M29">
            <v>20.967741935483872</v>
          </cell>
          <cell r="N29">
            <v>30.666666666666668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235.1473566666667</v>
          </cell>
          <cell r="G30">
            <v>223</v>
          </cell>
          <cell r="H30">
            <v>137.09677419354838</v>
          </cell>
          <cell r="I30">
            <v>109.66666666666667</v>
          </cell>
          <cell r="J30">
            <v>99.354838709677423</v>
          </cell>
          <cell r="K30">
            <v>99.354838709677423</v>
          </cell>
          <cell r="L30">
            <v>134.66666666666666</v>
          </cell>
          <cell r="M30">
            <v>222.58064516129033</v>
          </cell>
          <cell r="N30">
            <v>325.66666666666669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1.1299287824453401</v>
          </cell>
          <cell r="G34">
            <v>1.27</v>
          </cell>
          <cell r="H34">
            <v>0.59</v>
          </cell>
          <cell r="I34">
            <v>0.25</v>
          </cell>
          <cell r="J34">
            <v>0.12</v>
          </cell>
          <cell r="K34">
            <v>0.15</v>
          </cell>
          <cell r="L34">
            <v>0.81</v>
          </cell>
          <cell r="M34">
            <v>1.05</v>
          </cell>
          <cell r="N34">
            <v>1.41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11.977245093920605</v>
          </cell>
          <cell r="G35">
            <v>13.486190476190476</v>
          </cell>
          <cell r="H35">
            <v>6.2687500000000016</v>
          </cell>
          <cell r="I35">
            <v>2.6532258064516117</v>
          </cell>
          <cell r="J35">
            <v>1.2744827586206902</v>
          </cell>
          <cell r="K35">
            <v>1.5931034482758626</v>
          </cell>
          <cell r="L35">
            <v>8.6115789473684146</v>
          </cell>
          <cell r="M35">
            <v>11.146153846153842</v>
          </cell>
          <cell r="N35">
            <v>14.973586956521745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33.459014750652237</v>
          </cell>
          <cell r="G36">
            <v>29.468782842413553</v>
          </cell>
          <cell r="M36">
            <v>31.738901328373572</v>
          </cell>
          <cell r="N36">
            <v>34.467162269006792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354.66555635691373</v>
          </cell>
          <cell r="G37">
            <v>312.93040827896294</v>
          </cell>
          <cell r="M37">
            <v>336.920644870427</v>
          </cell>
          <cell r="N37">
            <v>366.0262775741266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47.018160139996318</v>
          </cell>
          <cell r="G38">
            <v>44.708782842413555</v>
          </cell>
          <cell r="M38">
            <v>44.338901328373574</v>
          </cell>
          <cell r="N38">
            <v>51.387162269006794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498.39249748396094</v>
          </cell>
          <cell r="G39">
            <v>474.76469399324867</v>
          </cell>
          <cell r="M39">
            <v>470.67449102427315</v>
          </cell>
          <cell r="N39">
            <v>545.70932105238751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861.31893732704407</v>
          </cell>
          <cell r="G52">
            <v>630</v>
          </cell>
          <cell r="H52">
            <v>399.99999999999972</v>
          </cell>
          <cell r="I52">
            <v>310</v>
          </cell>
          <cell r="J52">
            <v>289.99999999999994</v>
          </cell>
          <cell r="K52">
            <v>289.99999999999994</v>
          </cell>
          <cell r="L52">
            <v>380.00000000000011</v>
          </cell>
          <cell r="M52">
            <v>650.00000000000057</v>
          </cell>
          <cell r="N52">
            <v>919.99999999999966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9129.9807356666661</v>
          </cell>
          <cell r="G53">
            <v>6690</v>
          </cell>
          <cell r="H53">
            <v>4249.9999999999982</v>
          </cell>
          <cell r="I53">
            <v>3289.9999999999986</v>
          </cell>
          <cell r="J53">
            <v>3080.0000000000005</v>
          </cell>
          <cell r="K53">
            <v>3080.0000000000005</v>
          </cell>
          <cell r="L53">
            <v>4039.9999999999982</v>
          </cell>
          <cell r="M53">
            <v>6900.0000000000036</v>
          </cell>
          <cell r="N53">
            <v>9770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7.5999999999999961</v>
          </cell>
          <cell r="H54">
            <v>13</v>
          </cell>
          <cell r="I54">
            <v>15.800000000000008</v>
          </cell>
          <cell r="J54">
            <v>17.5</v>
          </cell>
          <cell r="K54">
            <v>17.199999999999996</v>
          </cell>
          <cell r="L54">
            <v>13</v>
          </cell>
          <cell r="M54">
            <v>8</v>
          </cell>
          <cell r="N54">
            <v>2.5999999999999996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897.28930096087993</v>
          </cell>
          <cell r="G57">
            <v>629.99999999999989</v>
          </cell>
          <cell r="H57">
            <v>399.99999999999972</v>
          </cell>
          <cell r="I57">
            <v>310.00000000000006</v>
          </cell>
          <cell r="J57">
            <v>289.99999999999994</v>
          </cell>
          <cell r="K57">
            <v>289.99999999999994</v>
          </cell>
          <cell r="L57">
            <v>380.00000000000011</v>
          </cell>
          <cell r="M57">
            <v>650.00000000000057</v>
          </cell>
          <cell r="N57">
            <v>919.99999999999966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9511.266590185327</v>
          </cell>
          <cell r="G58">
            <v>6689.9999999999982</v>
          </cell>
          <cell r="H58">
            <v>4249.9999999999982</v>
          </cell>
          <cell r="I58">
            <v>3289.9999999999991</v>
          </cell>
          <cell r="J58">
            <v>3080.0000000000005</v>
          </cell>
          <cell r="K58">
            <v>3080.0000000000005</v>
          </cell>
          <cell r="L58">
            <v>4039.9999999999977</v>
          </cell>
          <cell r="M58">
            <v>6900.0000000000036</v>
          </cell>
          <cell r="N58">
            <v>9770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30.222739402515725</v>
          </cell>
        </row>
        <row r="62">
          <cell r="R62">
            <v>42065</v>
          </cell>
          <cell r="S62">
            <v>32.066782044025153</v>
          </cell>
        </row>
        <row r="63">
          <cell r="R63">
            <v>42066</v>
          </cell>
          <cell r="S63">
            <v>31.978910157232704</v>
          </cell>
        </row>
        <row r="64">
          <cell r="R64">
            <v>42067</v>
          </cell>
          <cell r="S64">
            <v>32.285091855345911</v>
          </cell>
        </row>
        <row r="65">
          <cell r="R65">
            <v>42068</v>
          </cell>
          <cell r="S65">
            <v>33.525023836477985</v>
          </cell>
        </row>
        <row r="66">
          <cell r="R66">
            <v>42069</v>
          </cell>
          <cell r="S66">
            <v>31.256962704402515</v>
          </cell>
        </row>
        <row r="67">
          <cell r="R67">
            <v>42070</v>
          </cell>
          <cell r="S67">
            <v>26.704598930817607</v>
          </cell>
        </row>
        <row r="68">
          <cell r="R68">
            <v>42071</v>
          </cell>
          <cell r="S68">
            <v>26.051285440251569</v>
          </cell>
        </row>
        <row r="69">
          <cell r="R69">
            <v>42072</v>
          </cell>
          <cell r="S69">
            <v>29.276572044025155</v>
          </cell>
        </row>
        <row r="70">
          <cell r="R70">
            <v>42073</v>
          </cell>
          <cell r="S70">
            <v>27.639506572327043</v>
          </cell>
        </row>
        <row r="71">
          <cell r="R71">
            <v>42074</v>
          </cell>
          <cell r="S71">
            <v>30.736072327044024</v>
          </cell>
        </row>
        <row r="72">
          <cell r="R72">
            <v>42075</v>
          </cell>
          <cell r="S72">
            <v>31.483039685534589</v>
          </cell>
        </row>
        <row r="73">
          <cell r="R73">
            <v>42076</v>
          </cell>
          <cell r="S73">
            <v>31.523914874213837</v>
          </cell>
        </row>
        <row r="74">
          <cell r="R74">
            <v>42077</v>
          </cell>
          <cell r="S74">
            <v>28.851615157232704</v>
          </cell>
        </row>
        <row r="75">
          <cell r="R75">
            <v>42078</v>
          </cell>
          <cell r="S75">
            <v>28.216592044025155</v>
          </cell>
        </row>
        <row r="76">
          <cell r="R76">
            <v>42079</v>
          </cell>
          <cell r="S76">
            <v>28.050054308176101</v>
          </cell>
        </row>
        <row r="77">
          <cell r="R77">
            <v>42080</v>
          </cell>
          <cell r="S77">
            <v>25.987035440251571</v>
          </cell>
        </row>
        <row r="78">
          <cell r="R78">
            <v>42081</v>
          </cell>
          <cell r="S78">
            <v>26.187643081761006</v>
          </cell>
        </row>
        <row r="79">
          <cell r="R79">
            <v>42082</v>
          </cell>
          <cell r="S79">
            <v>26.922527327044026</v>
          </cell>
        </row>
        <row r="80">
          <cell r="R80">
            <v>42083</v>
          </cell>
          <cell r="S80">
            <v>26.551015723270439</v>
          </cell>
        </row>
        <row r="81">
          <cell r="R81">
            <v>42084</v>
          </cell>
          <cell r="S81">
            <v>22.79059044025157</v>
          </cell>
        </row>
        <row r="82">
          <cell r="R82">
            <v>42085</v>
          </cell>
          <cell r="S82">
            <v>27.278467044025156</v>
          </cell>
        </row>
        <row r="83">
          <cell r="R83">
            <v>42086</v>
          </cell>
          <cell r="S83">
            <v>28.337994779874212</v>
          </cell>
        </row>
        <row r="84">
          <cell r="R84">
            <v>42087</v>
          </cell>
          <cell r="S84">
            <v>25.833110723270437</v>
          </cell>
        </row>
        <row r="85">
          <cell r="R85">
            <v>42088</v>
          </cell>
          <cell r="S85">
            <v>22.730063270440251</v>
          </cell>
        </row>
        <row r="86">
          <cell r="R86">
            <v>42089</v>
          </cell>
          <cell r="S86">
            <v>22.593935911949682</v>
          </cell>
        </row>
        <row r="87">
          <cell r="R87">
            <v>42090</v>
          </cell>
          <cell r="S87">
            <v>24.635889591194967</v>
          </cell>
        </row>
        <row r="88">
          <cell r="R88">
            <v>42091</v>
          </cell>
          <cell r="S88">
            <v>22.183712893081761</v>
          </cell>
        </row>
        <row r="89">
          <cell r="R89">
            <v>42092</v>
          </cell>
          <cell r="S89">
            <v>23.4280463836478</v>
          </cell>
        </row>
        <row r="90">
          <cell r="R90">
            <v>42093</v>
          </cell>
          <cell r="S90">
            <v>27.048788176100626</v>
          </cell>
        </row>
        <row r="91">
          <cell r="R91">
            <v>42094</v>
          </cell>
          <cell r="S91">
            <v>28.941355157232707</v>
          </cell>
        </row>
        <row r="92">
          <cell r="R92">
            <v>42095</v>
          </cell>
          <cell r="S92">
            <v>21</v>
          </cell>
        </row>
        <row r="93">
          <cell r="R93">
            <v>42096</v>
          </cell>
          <cell r="S93">
            <v>21</v>
          </cell>
        </row>
        <row r="94">
          <cell r="R94">
            <v>42097</v>
          </cell>
          <cell r="S94">
            <v>21</v>
          </cell>
        </row>
        <row r="95">
          <cell r="R95">
            <v>42098</v>
          </cell>
          <cell r="S95">
            <v>21</v>
          </cell>
        </row>
        <row r="96">
          <cell r="R96">
            <v>42099</v>
          </cell>
          <cell r="S96">
            <v>21</v>
          </cell>
        </row>
        <row r="97">
          <cell r="R97">
            <v>42100</v>
          </cell>
          <cell r="S97">
            <v>21</v>
          </cell>
        </row>
        <row r="98">
          <cell r="R98">
            <v>42101</v>
          </cell>
          <cell r="S98">
            <v>21</v>
          </cell>
        </row>
        <row r="99">
          <cell r="R99">
            <v>42102</v>
          </cell>
          <cell r="S99">
            <v>21</v>
          </cell>
        </row>
        <row r="100">
          <cell r="R100">
            <v>42103</v>
          </cell>
          <cell r="S100">
            <v>21</v>
          </cell>
        </row>
        <row r="101">
          <cell r="R101">
            <v>42104</v>
          </cell>
          <cell r="S101">
            <v>21</v>
          </cell>
        </row>
        <row r="102">
          <cell r="R102">
            <v>42105</v>
          </cell>
          <cell r="S102">
            <v>21</v>
          </cell>
        </row>
        <row r="103">
          <cell r="R103">
            <v>42106</v>
          </cell>
          <cell r="S103">
            <v>21</v>
          </cell>
        </row>
        <row r="104">
          <cell r="R104">
            <v>42107</v>
          </cell>
          <cell r="S104">
            <v>21</v>
          </cell>
        </row>
        <row r="105">
          <cell r="R105">
            <v>42108</v>
          </cell>
          <cell r="S105">
            <v>21</v>
          </cell>
        </row>
        <row r="106">
          <cell r="R106">
            <v>42109</v>
          </cell>
          <cell r="S106">
            <v>21</v>
          </cell>
        </row>
        <row r="107">
          <cell r="R107">
            <v>42110</v>
          </cell>
          <cell r="S107">
            <v>21</v>
          </cell>
        </row>
        <row r="108">
          <cell r="R108">
            <v>42111</v>
          </cell>
          <cell r="S108">
            <v>21</v>
          </cell>
        </row>
        <row r="109">
          <cell r="R109">
            <v>42112</v>
          </cell>
          <cell r="S109">
            <v>21</v>
          </cell>
        </row>
        <row r="110">
          <cell r="R110">
            <v>42113</v>
          </cell>
          <cell r="S110">
            <v>21</v>
          </cell>
        </row>
        <row r="111">
          <cell r="R111">
            <v>42114</v>
          </cell>
          <cell r="S111">
            <v>21</v>
          </cell>
        </row>
        <row r="112">
          <cell r="R112">
            <v>42115</v>
          </cell>
          <cell r="S112">
            <v>21</v>
          </cell>
        </row>
        <row r="113">
          <cell r="R113">
            <v>42116</v>
          </cell>
          <cell r="S113">
            <v>21</v>
          </cell>
        </row>
        <row r="114">
          <cell r="R114">
            <v>42117</v>
          </cell>
          <cell r="S114">
            <v>21</v>
          </cell>
        </row>
        <row r="115">
          <cell r="R115">
            <v>42118</v>
          </cell>
          <cell r="S115">
            <v>21</v>
          </cell>
        </row>
        <row r="116">
          <cell r="R116">
            <v>42119</v>
          </cell>
          <cell r="S116">
            <v>21</v>
          </cell>
        </row>
        <row r="117">
          <cell r="R117">
            <v>42120</v>
          </cell>
          <cell r="S117">
            <v>21</v>
          </cell>
        </row>
        <row r="118">
          <cell r="R118">
            <v>42121</v>
          </cell>
          <cell r="S118">
            <v>21</v>
          </cell>
        </row>
        <row r="119">
          <cell r="R119">
            <v>42122</v>
          </cell>
          <cell r="S119">
            <v>21</v>
          </cell>
        </row>
        <row r="120">
          <cell r="R120">
            <v>42123</v>
          </cell>
          <cell r="S120">
            <v>21</v>
          </cell>
        </row>
        <row r="121">
          <cell r="R121">
            <v>42124</v>
          </cell>
          <cell r="S121">
            <v>21</v>
          </cell>
        </row>
        <row r="122">
          <cell r="R122">
            <v>42125</v>
          </cell>
          <cell r="S122">
            <v>12.903225806451612</v>
          </cell>
        </row>
        <row r="123">
          <cell r="R123">
            <v>42126</v>
          </cell>
          <cell r="S123">
            <v>12.903225806451612</v>
          </cell>
        </row>
        <row r="124">
          <cell r="R124">
            <v>42127</v>
          </cell>
          <cell r="S124">
            <v>12.903225806451612</v>
          </cell>
        </row>
        <row r="125">
          <cell r="R125">
            <v>42128</v>
          </cell>
          <cell r="S125">
            <v>12.903225806451612</v>
          </cell>
        </row>
        <row r="126">
          <cell r="R126">
            <v>42129</v>
          </cell>
          <cell r="S126">
            <v>12.903225806451612</v>
          </cell>
        </row>
        <row r="127">
          <cell r="R127">
            <v>42130</v>
          </cell>
          <cell r="S127">
            <v>12.903225806451612</v>
          </cell>
        </row>
        <row r="128">
          <cell r="R128">
            <v>42131</v>
          </cell>
          <cell r="S128">
            <v>12.903225806451612</v>
          </cell>
        </row>
        <row r="129">
          <cell r="R129">
            <v>42132</v>
          </cell>
          <cell r="S129">
            <v>12.903225806451612</v>
          </cell>
        </row>
        <row r="130">
          <cell r="R130">
            <v>42133</v>
          </cell>
          <cell r="S130">
            <v>12.903225806451612</v>
          </cell>
        </row>
        <row r="131">
          <cell r="R131">
            <v>42134</v>
          </cell>
          <cell r="S131">
            <v>12.903225806451612</v>
          </cell>
        </row>
        <row r="132">
          <cell r="R132">
            <v>42135</v>
          </cell>
          <cell r="S132">
            <v>12.903225806451612</v>
          </cell>
        </row>
        <row r="133">
          <cell r="R133">
            <v>42136</v>
          </cell>
          <cell r="S133">
            <v>12.903225806451612</v>
          </cell>
        </row>
        <row r="134">
          <cell r="R134">
            <v>42137</v>
          </cell>
          <cell r="S134">
            <v>12.903225806451612</v>
          </cell>
        </row>
        <row r="135">
          <cell r="R135">
            <v>42138</v>
          </cell>
          <cell r="S135">
            <v>12.903225806451612</v>
          </cell>
        </row>
        <row r="136">
          <cell r="R136">
            <v>42139</v>
          </cell>
          <cell r="S136">
            <v>12.903225806451612</v>
          </cell>
        </row>
        <row r="137">
          <cell r="R137">
            <v>42140</v>
          </cell>
          <cell r="S137">
            <v>12.903225806451612</v>
          </cell>
        </row>
        <row r="138">
          <cell r="R138">
            <v>42141</v>
          </cell>
          <cell r="S138">
            <v>12.903225806451612</v>
          </cell>
        </row>
        <row r="139">
          <cell r="R139">
            <v>42142</v>
          </cell>
          <cell r="S139">
            <v>12.903225806451612</v>
          </cell>
        </row>
        <row r="140">
          <cell r="R140">
            <v>42143</v>
          </cell>
          <cell r="S140">
            <v>12.903225806451612</v>
          </cell>
        </row>
        <row r="141">
          <cell r="R141">
            <v>42144</v>
          </cell>
          <cell r="S141">
            <v>12.903225806451612</v>
          </cell>
        </row>
        <row r="142">
          <cell r="R142">
            <v>42145</v>
          </cell>
          <cell r="S142">
            <v>12.903225806451612</v>
          </cell>
        </row>
        <row r="143">
          <cell r="R143">
            <v>42146</v>
          </cell>
          <cell r="S143">
            <v>12.903225806451612</v>
          </cell>
        </row>
        <row r="144">
          <cell r="R144">
            <v>42147</v>
          </cell>
          <cell r="S144">
            <v>12.903225806451612</v>
          </cell>
        </row>
        <row r="145">
          <cell r="R145">
            <v>42148</v>
          </cell>
          <cell r="S145">
            <v>12.903225806451612</v>
          </cell>
        </row>
        <row r="146">
          <cell r="R146">
            <v>42149</v>
          </cell>
          <cell r="S146">
            <v>12.903225806451612</v>
          </cell>
        </row>
        <row r="147">
          <cell r="R147">
            <v>42150</v>
          </cell>
          <cell r="S147">
            <v>12.903225806451612</v>
          </cell>
        </row>
        <row r="148">
          <cell r="R148">
            <v>42151</v>
          </cell>
          <cell r="S148">
            <v>12.903225806451612</v>
          </cell>
        </row>
        <row r="149">
          <cell r="R149">
            <v>42152</v>
          </cell>
          <cell r="S149">
            <v>12.903225806451612</v>
          </cell>
        </row>
        <row r="150">
          <cell r="R150">
            <v>42153</v>
          </cell>
          <cell r="S150">
            <v>12.903225806451612</v>
          </cell>
        </row>
        <row r="151">
          <cell r="R151">
            <v>42154</v>
          </cell>
          <cell r="S151">
            <v>12.903225806451612</v>
          </cell>
        </row>
        <row r="152">
          <cell r="R152">
            <v>42155</v>
          </cell>
          <cell r="S152">
            <v>12.903225806451612</v>
          </cell>
        </row>
        <row r="153">
          <cell r="R153">
            <v>42156</v>
          </cell>
          <cell r="S153">
            <v>10.333333333333334</v>
          </cell>
        </row>
        <row r="154">
          <cell r="R154">
            <v>42157</v>
          </cell>
          <cell r="S154">
            <v>10.333333333333334</v>
          </cell>
        </row>
        <row r="155">
          <cell r="R155">
            <v>42158</v>
          </cell>
          <cell r="S155">
            <v>10.333333333333334</v>
          </cell>
        </row>
        <row r="156">
          <cell r="R156">
            <v>42159</v>
          </cell>
          <cell r="S156">
            <v>10.333333333333334</v>
          </cell>
        </row>
        <row r="157">
          <cell r="R157">
            <v>42160</v>
          </cell>
          <cell r="S157">
            <v>10.333333333333334</v>
          </cell>
        </row>
        <row r="158">
          <cell r="R158">
            <v>42161</v>
          </cell>
          <cell r="S158">
            <v>10.333333333333334</v>
          </cell>
        </row>
        <row r="159">
          <cell r="R159">
            <v>42162</v>
          </cell>
          <cell r="S159">
            <v>10.333333333333334</v>
          </cell>
        </row>
        <row r="160">
          <cell r="R160">
            <v>42163</v>
          </cell>
          <cell r="S160">
            <v>10.333333333333334</v>
          </cell>
        </row>
        <row r="161">
          <cell r="R161">
            <v>42164</v>
          </cell>
          <cell r="S161">
            <v>10.333333333333334</v>
          </cell>
        </row>
        <row r="162">
          <cell r="R162">
            <v>42165</v>
          </cell>
          <cell r="S162">
            <v>10.333333333333334</v>
          </cell>
        </row>
        <row r="163">
          <cell r="R163">
            <v>42166</v>
          </cell>
          <cell r="S163">
            <v>10.333333333333334</v>
          </cell>
        </row>
        <row r="164">
          <cell r="R164">
            <v>42167</v>
          </cell>
          <cell r="S164">
            <v>10.333333333333334</v>
          </cell>
        </row>
        <row r="165">
          <cell r="R165">
            <v>42168</v>
          </cell>
          <cell r="S165">
            <v>10.333333333333334</v>
          </cell>
        </row>
        <row r="166">
          <cell r="R166">
            <v>42169</v>
          </cell>
          <cell r="S166">
            <v>10.333333333333334</v>
          </cell>
        </row>
        <row r="167">
          <cell r="R167">
            <v>42170</v>
          </cell>
          <cell r="S167">
            <v>10.333333333333334</v>
          </cell>
        </row>
        <row r="168">
          <cell r="R168">
            <v>42171</v>
          </cell>
          <cell r="S168">
            <v>10.333333333333334</v>
          </cell>
        </row>
        <row r="169">
          <cell r="R169">
            <v>42172</v>
          </cell>
          <cell r="S169">
            <v>10.333333333333334</v>
          </cell>
        </row>
        <row r="170">
          <cell r="R170">
            <v>42173</v>
          </cell>
          <cell r="S170">
            <v>10.333333333333334</v>
          </cell>
        </row>
        <row r="171">
          <cell r="R171">
            <v>42174</v>
          </cell>
          <cell r="S171">
            <v>10.333333333333334</v>
          </cell>
        </row>
        <row r="172">
          <cell r="R172">
            <v>42175</v>
          </cell>
          <cell r="S172">
            <v>10.333333333333334</v>
          </cell>
        </row>
        <row r="173">
          <cell r="R173">
            <v>42176</v>
          </cell>
          <cell r="S173">
            <v>10.333333333333334</v>
          </cell>
        </row>
        <row r="174">
          <cell r="R174">
            <v>42177</v>
          </cell>
          <cell r="S174">
            <v>10.333333333333334</v>
          </cell>
        </row>
        <row r="175">
          <cell r="R175">
            <v>42178</v>
          </cell>
          <cell r="S175">
            <v>10.333333333333334</v>
          </cell>
        </row>
        <row r="176">
          <cell r="R176">
            <v>42179</v>
          </cell>
          <cell r="S176">
            <v>10.333333333333334</v>
          </cell>
        </row>
        <row r="177">
          <cell r="R177">
            <v>42180</v>
          </cell>
          <cell r="S177">
            <v>10.333333333333334</v>
          </cell>
        </row>
        <row r="178">
          <cell r="R178">
            <v>42181</v>
          </cell>
          <cell r="S178">
            <v>10.333333333333334</v>
          </cell>
        </row>
        <row r="179">
          <cell r="R179">
            <v>42182</v>
          </cell>
          <cell r="S179">
            <v>10.333333333333334</v>
          </cell>
        </row>
        <row r="180">
          <cell r="R180">
            <v>42183</v>
          </cell>
          <cell r="S180">
            <v>10.333333333333334</v>
          </cell>
        </row>
        <row r="181">
          <cell r="R181">
            <v>42184</v>
          </cell>
          <cell r="S181">
            <v>10.333333333333334</v>
          </cell>
        </row>
        <row r="182">
          <cell r="R182">
            <v>42185</v>
          </cell>
          <cell r="S182">
            <v>10.333333333333334</v>
          </cell>
        </row>
        <row r="183">
          <cell r="R183">
            <v>42186</v>
          </cell>
          <cell r="S183">
            <v>9.3548387096774199</v>
          </cell>
        </row>
        <row r="184">
          <cell r="R184">
            <v>42187</v>
          </cell>
          <cell r="S184">
            <v>9.3548387096774199</v>
          </cell>
        </row>
        <row r="185">
          <cell r="R185">
            <v>42188</v>
          </cell>
          <cell r="S185">
            <v>9.3548387096774199</v>
          </cell>
        </row>
        <row r="186">
          <cell r="R186">
            <v>42189</v>
          </cell>
          <cell r="S186">
            <v>9.3548387096774199</v>
          </cell>
        </row>
        <row r="187">
          <cell r="R187">
            <v>42190</v>
          </cell>
          <cell r="S187">
            <v>9.3548387096774199</v>
          </cell>
        </row>
        <row r="188">
          <cell r="R188">
            <v>42191</v>
          </cell>
          <cell r="S188">
            <v>9.3548387096774199</v>
          </cell>
        </row>
        <row r="189">
          <cell r="R189">
            <v>42192</v>
          </cell>
          <cell r="S189">
            <v>9.3548387096774199</v>
          </cell>
        </row>
        <row r="190">
          <cell r="R190">
            <v>42193</v>
          </cell>
          <cell r="S190">
            <v>9.3548387096774199</v>
          </cell>
        </row>
        <row r="191">
          <cell r="R191">
            <v>42194</v>
          </cell>
          <cell r="S191">
            <v>9.3548387096774199</v>
          </cell>
        </row>
        <row r="192">
          <cell r="R192">
            <v>42195</v>
          </cell>
          <cell r="S192">
            <v>9.3548387096774199</v>
          </cell>
        </row>
        <row r="193">
          <cell r="R193">
            <v>42196</v>
          </cell>
          <cell r="S193">
            <v>9.3548387096774199</v>
          </cell>
        </row>
        <row r="194">
          <cell r="R194">
            <v>42197</v>
          </cell>
          <cell r="S194">
            <v>9.3548387096774199</v>
          </cell>
        </row>
        <row r="195">
          <cell r="R195">
            <v>42198</v>
          </cell>
          <cell r="S195">
            <v>9.3548387096774199</v>
          </cell>
        </row>
        <row r="196">
          <cell r="R196">
            <v>42199</v>
          </cell>
          <cell r="S196">
            <v>9.3548387096774199</v>
          </cell>
        </row>
        <row r="197">
          <cell r="R197">
            <v>42200</v>
          </cell>
          <cell r="S197">
            <v>9.3548387096774199</v>
          </cell>
        </row>
        <row r="198">
          <cell r="R198">
            <v>42201</v>
          </cell>
          <cell r="S198">
            <v>9.3548387096774199</v>
          </cell>
        </row>
        <row r="199">
          <cell r="R199">
            <v>42202</v>
          </cell>
          <cell r="S199">
            <v>9.3548387096774199</v>
          </cell>
        </row>
        <row r="200">
          <cell r="R200">
            <v>42203</v>
          </cell>
          <cell r="S200">
            <v>9.3548387096774199</v>
          </cell>
        </row>
        <row r="201">
          <cell r="R201">
            <v>42204</v>
          </cell>
          <cell r="S201">
            <v>9.3548387096774199</v>
          </cell>
        </row>
        <row r="202">
          <cell r="R202">
            <v>42205</v>
          </cell>
          <cell r="S202">
            <v>9.3548387096774199</v>
          </cell>
        </row>
        <row r="203">
          <cell r="R203">
            <v>42206</v>
          </cell>
          <cell r="S203">
            <v>9.3548387096774199</v>
          </cell>
        </row>
        <row r="204">
          <cell r="R204">
            <v>42207</v>
          </cell>
          <cell r="S204">
            <v>9.3548387096774199</v>
          </cell>
        </row>
        <row r="205">
          <cell r="R205">
            <v>42208</v>
          </cell>
          <cell r="S205">
            <v>9.3548387096774199</v>
          </cell>
        </row>
        <row r="206">
          <cell r="R206">
            <v>42209</v>
          </cell>
          <cell r="S206">
            <v>9.3548387096774199</v>
          </cell>
        </row>
        <row r="207">
          <cell r="R207">
            <v>42210</v>
          </cell>
          <cell r="S207">
            <v>9.3548387096774199</v>
          </cell>
        </row>
        <row r="208">
          <cell r="R208">
            <v>42211</v>
          </cell>
          <cell r="S208">
            <v>9.3548387096774199</v>
          </cell>
        </row>
        <row r="209">
          <cell r="R209">
            <v>42212</v>
          </cell>
          <cell r="S209">
            <v>9.3548387096774199</v>
          </cell>
        </row>
        <row r="210">
          <cell r="R210">
            <v>42213</v>
          </cell>
          <cell r="S210">
            <v>9.3548387096774199</v>
          </cell>
        </row>
        <row r="211">
          <cell r="R211">
            <v>42214</v>
          </cell>
          <cell r="S211">
            <v>9.3548387096774199</v>
          </cell>
        </row>
        <row r="212">
          <cell r="R212">
            <v>42215</v>
          </cell>
          <cell r="S212">
            <v>9.3548387096774199</v>
          </cell>
        </row>
        <row r="213">
          <cell r="R213">
            <v>42216</v>
          </cell>
          <cell r="S213">
            <v>9.3548387096774199</v>
          </cell>
        </row>
        <row r="214">
          <cell r="R214">
            <v>42217</v>
          </cell>
          <cell r="S214">
            <v>9.3548387096774199</v>
          </cell>
        </row>
        <row r="215">
          <cell r="R215">
            <v>42218</v>
          </cell>
          <cell r="S215">
            <v>9.3548387096774199</v>
          </cell>
        </row>
        <row r="216">
          <cell r="R216">
            <v>42219</v>
          </cell>
          <cell r="S216">
            <v>9.3548387096774199</v>
          </cell>
        </row>
        <row r="217">
          <cell r="R217">
            <v>42220</v>
          </cell>
          <cell r="S217">
            <v>9.3548387096774199</v>
          </cell>
        </row>
        <row r="218">
          <cell r="R218">
            <v>42221</v>
          </cell>
          <cell r="S218">
            <v>9.3548387096774199</v>
          </cell>
        </row>
        <row r="219">
          <cell r="R219">
            <v>42222</v>
          </cell>
          <cell r="S219">
            <v>9.3548387096774199</v>
          </cell>
        </row>
        <row r="220">
          <cell r="R220">
            <v>42223</v>
          </cell>
          <cell r="S220">
            <v>9.3548387096774199</v>
          </cell>
        </row>
        <row r="221">
          <cell r="R221">
            <v>42224</v>
          </cell>
          <cell r="S221">
            <v>9.3548387096774199</v>
          </cell>
        </row>
        <row r="222">
          <cell r="R222">
            <v>42225</v>
          </cell>
          <cell r="S222">
            <v>9.3548387096774199</v>
          </cell>
        </row>
        <row r="223">
          <cell r="R223">
            <v>42226</v>
          </cell>
          <cell r="S223">
            <v>9.3548387096774199</v>
          </cell>
        </row>
        <row r="224">
          <cell r="R224">
            <v>42227</v>
          </cell>
          <cell r="S224">
            <v>9.3548387096774199</v>
          </cell>
        </row>
        <row r="225">
          <cell r="R225">
            <v>42228</v>
          </cell>
          <cell r="S225">
            <v>9.3548387096774199</v>
          </cell>
        </row>
        <row r="226">
          <cell r="R226">
            <v>42229</v>
          </cell>
          <cell r="S226">
            <v>9.3548387096774199</v>
          </cell>
        </row>
        <row r="227">
          <cell r="R227">
            <v>42230</v>
          </cell>
          <cell r="S227">
            <v>9.3548387096774199</v>
          </cell>
        </row>
        <row r="228">
          <cell r="R228">
            <v>42231</v>
          </cell>
          <cell r="S228">
            <v>9.3548387096774199</v>
          </cell>
        </row>
        <row r="229">
          <cell r="R229">
            <v>42232</v>
          </cell>
          <cell r="S229">
            <v>9.3548387096774199</v>
          </cell>
        </row>
        <row r="230">
          <cell r="R230">
            <v>42233</v>
          </cell>
          <cell r="S230">
            <v>9.3548387096774199</v>
          </cell>
        </row>
        <row r="231">
          <cell r="R231">
            <v>42234</v>
          </cell>
          <cell r="S231">
            <v>9.3548387096774199</v>
          </cell>
        </row>
        <row r="232">
          <cell r="R232">
            <v>42235</v>
          </cell>
          <cell r="S232">
            <v>9.3548387096774199</v>
          </cell>
        </row>
        <row r="233">
          <cell r="R233">
            <v>42236</v>
          </cell>
          <cell r="S233">
            <v>9.3548387096774199</v>
          </cell>
        </row>
        <row r="234">
          <cell r="R234">
            <v>42237</v>
          </cell>
          <cell r="S234">
            <v>9.3548387096774199</v>
          </cell>
        </row>
        <row r="235">
          <cell r="R235">
            <v>42238</v>
          </cell>
          <cell r="S235">
            <v>9.3548387096774199</v>
          </cell>
        </row>
        <row r="236">
          <cell r="R236">
            <v>42239</v>
          </cell>
          <cell r="S236">
            <v>9.3548387096774199</v>
          </cell>
        </row>
        <row r="237">
          <cell r="R237">
            <v>42240</v>
          </cell>
          <cell r="S237">
            <v>9.3548387096774199</v>
          </cell>
        </row>
        <row r="238">
          <cell r="R238">
            <v>42241</v>
          </cell>
          <cell r="S238">
            <v>9.3548387096774199</v>
          </cell>
        </row>
        <row r="239">
          <cell r="R239">
            <v>42242</v>
          </cell>
          <cell r="S239">
            <v>9.3548387096774199</v>
          </cell>
        </row>
        <row r="240">
          <cell r="R240">
            <v>42243</v>
          </cell>
          <cell r="S240">
            <v>9.3548387096774199</v>
          </cell>
        </row>
        <row r="241">
          <cell r="R241">
            <v>42244</v>
          </cell>
          <cell r="S241">
            <v>9.3548387096774199</v>
          </cell>
        </row>
        <row r="242">
          <cell r="R242">
            <v>42245</v>
          </cell>
          <cell r="S242">
            <v>9.3548387096774199</v>
          </cell>
        </row>
        <row r="243">
          <cell r="R243">
            <v>42246</v>
          </cell>
          <cell r="S243">
            <v>9.3548387096774199</v>
          </cell>
        </row>
        <row r="244">
          <cell r="R244">
            <v>42247</v>
          </cell>
          <cell r="S244">
            <v>9.3548387096774199</v>
          </cell>
        </row>
        <row r="245">
          <cell r="R245">
            <v>42248</v>
          </cell>
          <cell r="S245">
            <v>12.666666666666666</v>
          </cell>
        </row>
        <row r="246">
          <cell r="R246">
            <v>42249</v>
          </cell>
          <cell r="S246">
            <v>12.666666666666666</v>
          </cell>
        </row>
        <row r="247">
          <cell r="R247">
            <v>42250</v>
          </cell>
          <cell r="S247">
            <v>12.666666666666666</v>
          </cell>
        </row>
        <row r="248">
          <cell r="R248">
            <v>42251</v>
          </cell>
          <cell r="S248">
            <v>12.666666666666666</v>
          </cell>
        </row>
        <row r="249">
          <cell r="R249">
            <v>42252</v>
          </cell>
          <cell r="S249">
            <v>12.666666666666666</v>
          </cell>
        </row>
        <row r="250">
          <cell r="R250">
            <v>42253</v>
          </cell>
          <cell r="S250">
            <v>12.666666666666666</v>
          </cell>
        </row>
        <row r="251">
          <cell r="R251">
            <v>42254</v>
          </cell>
          <cell r="S251">
            <v>12.666666666666666</v>
          </cell>
        </row>
        <row r="252">
          <cell r="R252">
            <v>42255</v>
          </cell>
          <cell r="S252">
            <v>12.666666666666666</v>
          </cell>
        </row>
        <row r="253">
          <cell r="R253">
            <v>42256</v>
          </cell>
          <cell r="S253">
            <v>12.666666666666666</v>
          </cell>
        </row>
        <row r="254">
          <cell r="R254">
            <v>42257</v>
          </cell>
          <cell r="S254">
            <v>12.666666666666666</v>
          </cell>
        </row>
        <row r="255">
          <cell r="R255">
            <v>42258</v>
          </cell>
          <cell r="S255">
            <v>12.666666666666666</v>
          </cell>
        </row>
        <row r="256">
          <cell r="R256">
            <v>42259</v>
          </cell>
          <cell r="S256">
            <v>12.666666666666666</v>
          </cell>
        </row>
        <row r="257">
          <cell r="R257">
            <v>42260</v>
          </cell>
          <cell r="S257">
            <v>12.666666666666666</v>
          </cell>
        </row>
        <row r="258">
          <cell r="R258">
            <v>42261</v>
          </cell>
          <cell r="S258">
            <v>12.666666666666666</v>
          </cell>
        </row>
        <row r="259">
          <cell r="R259">
            <v>42262</v>
          </cell>
          <cell r="S259">
            <v>12.666666666666666</v>
          </cell>
        </row>
        <row r="260">
          <cell r="R260">
            <v>42263</v>
          </cell>
          <cell r="S260">
            <v>12.666666666666666</v>
          </cell>
        </row>
        <row r="261">
          <cell r="R261">
            <v>42264</v>
          </cell>
          <cell r="S261">
            <v>12.666666666666666</v>
          </cell>
        </row>
        <row r="262">
          <cell r="R262">
            <v>42265</v>
          </cell>
          <cell r="S262">
            <v>12.666666666666666</v>
          </cell>
        </row>
        <row r="263">
          <cell r="R263">
            <v>42266</v>
          </cell>
          <cell r="S263">
            <v>12.666666666666666</v>
          </cell>
        </row>
        <row r="264">
          <cell r="R264">
            <v>42267</v>
          </cell>
          <cell r="S264">
            <v>12.666666666666666</v>
          </cell>
        </row>
        <row r="265">
          <cell r="R265">
            <v>42268</v>
          </cell>
          <cell r="S265">
            <v>12.666666666666666</v>
          </cell>
        </row>
        <row r="266">
          <cell r="R266">
            <v>42269</v>
          </cell>
          <cell r="S266">
            <v>12.666666666666666</v>
          </cell>
        </row>
        <row r="267">
          <cell r="R267">
            <v>42270</v>
          </cell>
          <cell r="S267">
            <v>12.666666666666666</v>
          </cell>
        </row>
        <row r="268">
          <cell r="R268">
            <v>42271</v>
          </cell>
          <cell r="S268">
            <v>12.666666666666666</v>
          </cell>
        </row>
        <row r="269">
          <cell r="R269">
            <v>42272</v>
          </cell>
          <cell r="S269">
            <v>12.666666666666666</v>
          </cell>
        </row>
        <row r="270">
          <cell r="R270">
            <v>42273</v>
          </cell>
          <cell r="S270">
            <v>12.666666666666666</v>
          </cell>
        </row>
        <row r="271">
          <cell r="R271">
            <v>42274</v>
          </cell>
          <cell r="S271">
            <v>12.666666666666666</v>
          </cell>
        </row>
        <row r="272">
          <cell r="R272">
            <v>42275</v>
          </cell>
          <cell r="S272">
            <v>12.666666666666666</v>
          </cell>
        </row>
        <row r="273">
          <cell r="R273">
            <v>42276</v>
          </cell>
          <cell r="S273">
            <v>12.666666666666666</v>
          </cell>
        </row>
        <row r="274">
          <cell r="R274">
            <v>42277</v>
          </cell>
          <cell r="S274">
            <v>12.666666666666666</v>
          </cell>
        </row>
        <row r="275">
          <cell r="R275">
            <v>42278</v>
          </cell>
          <cell r="S275">
            <v>20.967741935483872</v>
          </cell>
        </row>
        <row r="276">
          <cell r="R276">
            <v>42279</v>
          </cell>
          <cell r="S276">
            <v>20.967741935483872</v>
          </cell>
        </row>
        <row r="277">
          <cell r="R277">
            <v>42280</v>
          </cell>
          <cell r="S277">
            <v>20.967741935483872</v>
          </cell>
        </row>
        <row r="278">
          <cell r="R278">
            <v>42281</v>
          </cell>
          <cell r="S278">
            <v>20.967741935483872</v>
          </cell>
        </row>
        <row r="279">
          <cell r="R279">
            <v>42282</v>
          </cell>
          <cell r="S279">
            <v>20.967741935483872</v>
          </cell>
        </row>
        <row r="280">
          <cell r="R280">
            <v>42283</v>
          </cell>
          <cell r="S280">
            <v>20.967741935483872</v>
          </cell>
        </row>
        <row r="281">
          <cell r="R281">
            <v>42284</v>
          </cell>
          <cell r="S281">
            <v>20.967741935483872</v>
          </cell>
        </row>
        <row r="282">
          <cell r="R282">
            <v>42285</v>
          </cell>
          <cell r="S282">
            <v>20.967741935483872</v>
          </cell>
        </row>
        <row r="283">
          <cell r="R283">
            <v>42286</v>
          </cell>
          <cell r="S283">
            <v>20.967741935483872</v>
          </cell>
        </row>
        <row r="284">
          <cell r="R284">
            <v>42287</v>
          </cell>
          <cell r="S284">
            <v>20.967741935483872</v>
          </cell>
        </row>
        <row r="285">
          <cell r="R285">
            <v>42288</v>
          </cell>
          <cell r="S285">
            <v>20.967741935483872</v>
          </cell>
        </row>
        <row r="286">
          <cell r="R286">
            <v>42289</v>
          </cell>
          <cell r="S286">
            <v>20.967741935483872</v>
          </cell>
        </row>
        <row r="287">
          <cell r="R287">
            <v>42290</v>
          </cell>
          <cell r="S287">
            <v>20.967741935483872</v>
          </cell>
        </row>
        <row r="288">
          <cell r="R288">
            <v>42291</v>
          </cell>
          <cell r="S288">
            <v>20.967741935483872</v>
          </cell>
        </row>
        <row r="289">
          <cell r="R289">
            <v>42292</v>
          </cell>
          <cell r="S289">
            <v>20.967741935483872</v>
          </cell>
        </row>
        <row r="290">
          <cell r="R290">
            <v>42293</v>
          </cell>
          <cell r="S290">
            <v>20.967741935483872</v>
          </cell>
        </row>
        <row r="291">
          <cell r="R291">
            <v>42294</v>
          </cell>
          <cell r="S291">
            <v>20.967741935483872</v>
          </cell>
        </row>
        <row r="292">
          <cell r="R292">
            <v>42295</v>
          </cell>
          <cell r="S292">
            <v>20.967741935483872</v>
          </cell>
        </row>
        <row r="293">
          <cell r="R293">
            <v>42296</v>
          </cell>
          <cell r="S293">
            <v>20.967741935483872</v>
          </cell>
        </row>
        <row r="294">
          <cell r="R294">
            <v>42297</v>
          </cell>
          <cell r="S294">
            <v>20.967741935483872</v>
          </cell>
        </row>
        <row r="295">
          <cell r="R295">
            <v>42298</v>
          </cell>
          <cell r="S295">
            <v>20.967741935483872</v>
          </cell>
        </row>
        <row r="296">
          <cell r="R296">
            <v>42299</v>
          </cell>
          <cell r="S296">
            <v>20.967741935483872</v>
          </cell>
        </row>
        <row r="297">
          <cell r="R297">
            <v>42300</v>
          </cell>
          <cell r="S297">
            <v>20.967741935483872</v>
          </cell>
        </row>
        <row r="298">
          <cell r="R298">
            <v>42301</v>
          </cell>
          <cell r="S298">
            <v>20.967741935483872</v>
          </cell>
        </row>
        <row r="299">
          <cell r="R299">
            <v>42302</v>
          </cell>
          <cell r="S299">
            <v>20.967741935483872</v>
          </cell>
        </row>
        <row r="300">
          <cell r="R300">
            <v>42303</v>
          </cell>
          <cell r="S300">
            <v>20.967741935483872</v>
          </cell>
        </row>
        <row r="301">
          <cell r="R301">
            <v>42304</v>
          </cell>
          <cell r="S301">
            <v>20.967741935483872</v>
          </cell>
        </row>
        <row r="302">
          <cell r="R302">
            <v>42305</v>
          </cell>
          <cell r="S302">
            <v>20.967741935483872</v>
          </cell>
        </row>
        <row r="303">
          <cell r="R303">
            <v>42306</v>
          </cell>
          <cell r="S303">
            <v>20.967741935483872</v>
          </cell>
        </row>
        <row r="304">
          <cell r="R304">
            <v>42307</v>
          </cell>
          <cell r="S304">
            <v>20.967741935483872</v>
          </cell>
        </row>
        <row r="305">
          <cell r="R305">
            <v>42308</v>
          </cell>
          <cell r="S305">
            <v>20.967741935483872</v>
          </cell>
        </row>
        <row r="306">
          <cell r="R306">
            <v>42309</v>
          </cell>
          <cell r="S306">
            <v>30.666666666666668</v>
          </cell>
        </row>
        <row r="307">
          <cell r="R307">
            <v>42310</v>
          </cell>
          <cell r="S307">
            <v>30.666666666666668</v>
          </cell>
        </row>
        <row r="308">
          <cell r="R308">
            <v>42311</v>
          </cell>
          <cell r="S308">
            <v>30.666666666666668</v>
          </cell>
        </row>
        <row r="309">
          <cell r="R309">
            <v>42312</v>
          </cell>
          <cell r="S309">
            <v>30.666666666666668</v>
          </cell>
        </row>
        <row r="310">
          <cell r="R310">
            <v>42313</v>
          </cell>
          <cell r="S310">
            <v>30.666666666666668</v>
          </cell>
        </row>
        <row r="311">
          <cell r="R311">
            <v>42314</v>
          </cell>
          <cell r="S311">
            <v>30.666666666666668</v>
          </cell>
        </row>
        <row r="312">
          <cell r="R312">
            <v>42315</v>
          </cell>
          <cell r="S312">
            <v>30.666666666666668</v>
          </cell>
        </row>
        <row r="313">
          <cell r="R313">
            <v>42316</v>
          </cell>
          <cell r="S313">
            <v>30.666666666666668</v>
          </cell>
        </row>
        <row r="314">
          <cell r="R314">
            <v>42317</v>
          </cell>
          <cell r="S314">
            <v>30.666666666666668</v>
          </cell>
        </row>
        <row r="315">
          <cell r="R315">
            <v>42318</v>
          </cell>
          <cell r="S315">
            <v>30.666666666666668</v>
          </cell>
        </row>
        <row r="316">
          <cell r="R316">
            <v>42319</v>
          </cell>
          <cell r="S316">
            <v>30.666666666666668</v>
          </cell>
        </row>
        <row r="317">
          <cell r="R317">
            <v>42320</v>
          </cell>
          <cell r="S317">
            <v>30.666666666666668</v>
          </cell>
        </row>
        <row r="318">
          <cell r="R318">
            <v>42321</v>
          </cell>
          <cell r="S318">
            <v>30.666666666666668</v>
          </cell>
        </row>
        <row r="319">
          <cell r="R319">
            <v>42322</v>
          </cell>
          <cell r="S319">
            <v>30.666666666666668</v>
          </cell>
        </row>
        <row r="320">
          <cell r="R320">
            <v>42323</v>
          </cell>
          <cell r="S320">
            <v>30.666666666666668</v>
          </cell>
        </row>
        <row r="321">
          <cell r="R321">
            <v>42324</v>
          </cell>
          <cell r="S321">
            <v>30.666666666666668</v>
          </cell>
        </row>
        <row r="322">
          <cell r="R322">
            <v>42325</v>
          </cell>
          <cell r="S322">
            <v>30.666666666666668</v>
          </cell>
        </row>
        <row r="323">
          <cell r="R323">
            <v>42326</v>
          </cell>
          <cell r="S323">
            <v>30.666666666666668</v>
          </cell>
        </row>
        <row r="324">
          <cell r="R324">
            <v>42327</v>
          </cell>
          <cell r="S324">
            <v>30.666666666666668</v>
          </cell>
        </row>
        <row r="325">
          <cell r="R325">
            <v>42328</v>
          </cell>
          <cell r="S325">
            <v>30.666666666666668</v>
          </cell>
        </row>
        <row r="326">
          <cell r="R326">
            <v>42329</v>
          </cell>
          <cell r="S326">
            <v>30.666666666666668</v>
          </cell>
        </row>
        <row r="327">
          <cell r="R327">
            <v>42330</v>
          </cell>
          <cell r="S327">
            <v>30.666666666666668</v>
          </cell>
        </row>
        <row r="328">
          <cell r="R328">
            <v>42331</v>
          </cell>
          <cell r="S328">
            <v>30.666666666666668</v>
          </cell>
        </row>
        <row r="329">
          <cell r="R329">
            <v>42332</v>
          </cell>
          <cell r="S329">
            <v>30.666666666666668</v>
          </cell>
        </row>
        <row r="330">
          <cell r="R330">
            <v>42333</v>
          </cell>
          <cell r="S330">
            <v>30.666666666666668</v>
          </cell>
        </row>
        <row r="331">
          <cell r="R331">
            <v>42334</v>
          </cell>
          <cell r="S331">
            <v>30.666666666666668</v>
          </cell>
        </row>
        <row r="332">
          <cell r="R332">
            <v>42335</v>
          </cell>
          <cell r="S332">
            <v>30.666666666666668</v>
          </cell>
        </row>
        <row r="333">
          <cell r="R333">
            <v>42336</v>
          </cell>
          <cell r="S333">
            <v>30.666666666666668</v>
          </cell>
        </row>
        <row r="334">
          <cell r="R334">
            <v>42337</v>
          </cell>
          <cell r="S334">
            <v>30.666666666666668</v>
          </cell>
        </row>
        <row r="335">
          <cell r="R335">
            <v>42338</v>
          </cell>
          <cell r="S335">
            <v>30.666666666666668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26878.778310959722</v>
          </cell>
          <cell r="G6">
            <v>285806.50999999995</v>
          </cell>
          <cell r="H6">
            <v>1028903.4359999999</v>
          </cell>
          <cell r="I6">
            <v>10.633165938329251</v>
          </cell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4">
        <v>1</v>
      </c>
      <c r="B1" s="204"/>
      <c r="C1" s="192"/>
      <c r="D1" s="193"/>
      <c r="E1" s="193"/>
      <c r="F1" s="216"/>
      <c r="G1" s="192"/>
      <c r="H1" s="193"/>
      <c r="I1" s="193"/>
      <c r="J1" s="222"/>
    </row>
    <row r="2" spans="1:10" ht="36" customHeight="1" x14ac:dyDescent="0.2">
      <c r="A2" s="204"/>
      <c r="B2" s="192"/>
      <c r="C2" s="196"/>
      <c r="D2" s="199"/>
      <c r="E2" s="199"/>
      <c r="F2" s="220"/>
      <c r="G2" s="196"/>
      <c r="H2" s="217"/>
      <c r="I2" s="199"/>
      <c r="J2" s="194"/>
    </row>
    <row r="3" spans="1:10" ht="36" customHeight="1" x14ac:dyDescent="0.2">
      <c r="A3" s="192"/>
      <c r="B3" s="196"/>
      <c r="C3" s="197"/>
      <c r="D3" s="204"/>
      <c r="E3" s="207"/>
      <c r="F3" s="204"/>
      <c r="G3" s="195"/>
      <c r="H3" s="197"/>
      <c r="I3" s="204"/>
      <c r="J3" s="205"/>
    </row>
    <row r="4" spans="1:10" ht="36" customHeight="1" x14ac:dyDescent="0.2">
      <c r="A4" s="218">
        <v>2</v>
      </c>
      <c r="B4" s="199"/>
      <c r="C4" s="200"/>
      <c r="D4" s="204"/>
      <c r="E4" s="204"/>
      <c r="F4" s="204"/>
      <c r="G4" s="198"/>
      <c r="H4" s="200"/>
      <c r="I4" s="204"/>
      <c r="J4" s="206"/>
    </row>
    <row r="5" spans="1:10" ht="36" customHeight="1" x14ac:dyDescent="0.2">
      <c r="A5" s="207"/>
      <c r="B5" s="204"/>
      <c r="C5" s="204"/>
      <c r="D5" s="204"/>
      <c r="E5" s="204"/>
      <c r="F5" s="204"/>
      <c r="G5" s="204"/>
      <c r="H5" s="204"/>
      <c r="I5" s="204"/>
      <c r="J5" s="204"/>
    </row>
    <row r="6" spans="1:10" ht="36" customHeight="1" x14ac:dyDescent="0.2">
      <c r="A6" s="204"/>
      <c r="B6" s="204"/>
      <c r="C6" s="204"/>
      <c r="D6" s="204"/>
      <c r="E6" s="204"/>
      <c r="F6" s="204"/>
      <c r="G6" s="204"/>
      <c r="H6" s="204"/>
      <c r="I6" s="204"/>
      <c r="J6" s="204"/>
    </row>
    <row r="7" spans="1:10" ht="36" customHeight="1" x14ac:dyDescent="0.2">
      <c r="A7" s="204"/>
      <c r="B7" s="204"/>
      <c r="C7" s="204"/>
      <c r="D7" s="204"/>
      <c r="E7" s="204"/>
      <c r="F7" s="204"/>
      <c r="G7" s="204"/>
      <c r="H7" s="204"/>
      <c r="I7" s="204"/>
      <c r="J7" s="204"/>
    </row>
    <row r="8" spans="1:10" ht="36" customHeight="1" x14ac:dyDescent="0.2">
      <c r="A8" s="204"/>
      <c r="B8" s="204"/>
      <c r="C8" s="204"/>
      <c r="D8" s="204"/>
      <c r="E8" s="204"/>
      <c r="F8" s="204"/>
      <c r="G8" s="204"/>
      <c r="H8" s="204"/>
      <c r="I8" s="204"/>
      <c r="J8" s="204"/>
    </row>
    <row r="9" spans="1:10" ht="36" customHeight="1" x14ac:dyDescent="0.2">
      <c r="A9" s="204"/>
      <c r="B9" s="204"/>
      <c r="C9" s="204"/>
      <c r="D9" s="204"/>
      <c r="E9" s="204"/>
      <c r="F9" s="204"/>
      <c r="G9" s="204"/>
      <c r="H9" s="204"/>
      <c r="I9" s="204"/>
      <c r="J9" s="204"/>
    </row>
    <row r="10" spans="1:10" ht="36" customHeight="1" x14ac:dyDescent="0.2">
      <c r="A10" s="204"/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36" customHeight="1" x14ac:dyDescent="0.2">
      <c r="A11" s="204"/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36" customHeight="1" x14ac:dyDescent="0.2">
      <c r="A12" s="204"/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ht="36" customHeight="1" x14ac:dyDescent="0.2">
      <c r="A13" s="204"/>
      <c r="B13" s="204"/>
      <c r="C13" s="204"/>
      <c r="D13" s="204"/>
      <c r="E13" s="204"/>
      <c r="F13" s="204"/>
      <c r="G13" s="204"/>
      <c r="H13" s="204"/>
      <c r="I13" s="204"/>
      <c r="J13" s="204"/>
    </row>
    <row r="14" spans="1:10" ht="36" customHeight="1" x14ac:dyDescent="0.2">
      <c r="A14" s="204"/>
      <c r="B14" s="204"/>
      <c r="C14" s="204"/>
      <c r="D14" s="204"/>
      <c r="E14" s="204"/>
      <c r="F14" s="204"/>
      <c r="G14" s="204"/>
      <c r="H14" s="204"/>
      <c r="I14" s="204"/>
      <c r="J14" s="204"/>
    </row>
    <row r="15" spans="1:10" ht="36" customHeight="1" x14ac:dyDescent="0.2">
      <c r="A15" s="204"/>
      <c r="B15" s="204"/>
      <c r="C15" s="204"/>
      <c r="D15" s="204"/>
      <c r="E15" s="204"/>
      <c r="F15" s="204"/>
      <c r="G15" s="204"/>
      <c r="H15" s="204"/>
      <c r="I15" s="204"/>
      <c r="J15" s="204"/>
    </row>
    <row r="16" spans="1:10" ht="36" customHeight="1" x14ac:dyDescent="0.2">
      <c r="A16" s="204"/>
      <c r="B16" s="204"/>
      <c r="C16" s="204"/>
      <c r="D16" s="204"/>
      <c r="E16" s="204"/>
      <c r="F16" s="204"/>
      <c r="G16" s="204"/>
      <c r="H16" s="204"/>
      <c r="I16" s="204"/>
      <c r="J16" s="214"/>
    </row>
    <row r="17" spans="1:10" ht="36" customHeight="1" x14ac:dyDescent="0.2">
      <c r="A17" s="204"/>
      <c r="B17" s="204"/>
      <c r="C17" s="192"/>
      <c r="D17" s="193"/>
      <c r="E17" s="208"/>
      <c r="F17" s="204"/>
      <c r="G17" s="204"/>
      <c r="H17" s="192"/>
      <c r="I17" s="193"/>
      <c r="J17" s="214"/>
    </row>
    <row r="18" spans="1:10" ht="36" customHeight="1" x14ac:dyDescent="0.2">
      <c r="A18" s="204"/>
      <c r="B18" s="204"/>
      <c r="C18" s="204"/>
      <c r="D18" s="199"/>
      <c r="E18" s="212"/>
      <c r="F18" s="213"/>
      <c r="G18" s="193"/>
      <c r="H18" s="196"/>
      <c r="I18" s="196"/>
      <c r="J18" s="222"/>
    </row>
    <row r="19" spans="1:10" ht="36" customHeight="1" x14ac:dyDescent="0.2">
      <c r="A19" s="204"/>
      <c r="B19" s="204"/>
      <c r="C19" s="204"/>
      <c r="D19" s="204"/>
      <c r="E19" s="204"/>
      <c r="F19" s="195"/>
      <c r="G19" s="934" t="s">
        <v>58</v>
      </c>
      <c r="H19" s="934"/>
      <c r="I19" s="209"/>
      <c r="J19" s="194"/>
    </row>
    <row r="20" spans="1:10" ht="36" customHeight="1" x14ac:dyDescent="0.2">
      <c r="A20" s="204"/>
      <c r="B20" s="204"/>
      <c r="C20" s="204"/>
      <c r="D20" s="204"/>
      <c r="E20" s="204"/>
      <c r="F20" s="211"/>
      <c r="G20" s="196"/>
      <c r="H20" s="196"/>
      <c r="I20" s="209"/>
      <c r="J20" s="210"/>
    </row>
    <row r="21" spans="1:10" ht="36" customHeight="1" x14ac:dyDescent="0.2">
      <c r="A21" s="192"/>
      <c r="B21" s="193"/>
      <c r="C21" s="194"/>
      <c r="D21" s="204"/>
      <c r="E21" s="192"/>
      <c r="F21" s="196"/>
      <c r="G21" s="215"/>
      <c r="H21" s="209"/>
      <c r="I21" s="934">
        <v>2015</v>
      </c>
      <c r="J21" s="934"/>
    </row>
    <row r="22" spans="1:10" ht="36" customHeight="1" x14ac:dyDescent="0.2">
      <c r="A22" s="198"/>
      <c r="B22" s="216"/>
      <c r="C22" s="196"/>
      <c r="D22" s="193"/>
      <c r="E22" s="199"/>
      <c r="F22" s="196"/>
      <c r="G22" s="212"/>
      <c r="H22" s="212"/>
      <c r="I22" s="209"/>
      <c r="J22" s="219"/>
    </row>
    <row r="23" spans="1:10" ht="36" customHeight="1" x14ac:dyDescent="0.2">
      <c r="A23" s="935" t="s">
        <v>43</v>
      </c>
      <c r="B23" s="936"/>
      <c r="C23" s="199"/>
      <c r="D23" s="199"/>
      <c r="E23" s="221"/>
      <c r="F23" s="206"/>
      <c r="G23" s="204"/>
      <c r="H23" s="204"/>
      <c r="I23" s="198"/>
      <c r="J23" s="221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topLeftCell="A16" zoomScaleNormal="100" zoomScaleSheetLayoutView="100" workbookViewId="0">
      <selection activeCell="L17" sqref="L17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973" t="s">
        <v>269</v>
      </c>
      <c r="J1" s="973"/>
    </row>
    <row r="2" spans="1:16" ht="6.75" customHeight="1" x14ac:dyDescent="0.2"/>
    <row r="3" spans="1:16" ht="30" customHeight="1" x14ac:dyDescent="0.2">
      <c r="A3" s="981" t="s">
        <v>394</v>
      </c>
      <c r="B3" s="981"/>
      <c r="C3" s="981"/>
      <c r="D3" s="981"/>
      <c r="E3" s="981"/>
      <c r="F3" s="981"/>
      <c r="G3" s="981"/>
      <c r="H3" s="981"/>
      <c r="I3" s="981"/>
      <c r="J3" s="981"/>
    </row>
    <row r="4" spans="1:16" ht="16.5" customHeight="1" x14ac:dyDescent="0.2">
      <c r="B4" s="244"/>
      <c r="C4" s="244"/>
      <c r="D4" s="372" t="str">
        <f>T!G19</f>
        <v>Únor</v>
      </c>
      <c r="E4" s="225">
        <f>T!I21</f>
        <v>2015</v>
      </c>
      <c r="F4" s="244"/>
      <c r="G4" s="244"/>
      <c r="H4" s="244"/>
    </row>
    <row r="5" spans="1:16" ht="6.75" customHeight="1" x14ac:dyDescent="0.2">
      <c r="A5" s="273"/>
      <c r="B5" s="274"/>
      <c r="C5" s="274"/>
      <c r="D5" s="272"/>
      <c r="E5" s="244"/>
      <c r="F5" s="244"/>
      <c r="G5" s="244"/>
      <c r="H5" s="275"/>
      <c r="I5" s="92"/>
    </row>
    <row r="6" spans="1:16" ht="14.1" customHeight="1" x14ac:dyDescent="0.25">
      <c r="A6" s="273"/>
      <c r="B6" s="128"/>
      <c r="C6" s="276"/>
      <c r="D6" s="277"/>
      <c r="E6" s="278"/>
      <c r="F6" s="278"/>
      <c r="G6" s="983" t="s">
        <v>228</v>
      </c>
      <c r="H6" s="279"/>
      <c r="I6" s="278"/>
      <c r="J6" s="276"/>
    </row>
    <row r="7" spans="1:16" ht="14.1" customHeight="1" x14ac:dyDescent="0.25">
      <c r="A7" s="280"/>
      <c r="B7" s="281"/>
      <c r="C7" s="265"/>
      <c r="D7" s="266" t="str">
        <f>T!$G$19</f>
        <v>Únor</v>
      </c>
      <c r="E7" s="267">
        <f>E4</f>
        <v>2015</v>
      </c>
      <c r="F7" s="267"/>
      <c r="G7" s="984"/>
      <c r="H7" s="282" t="str">
        <f>T!$G$19</f>
        <v>Únor</v>
      </c>
      <c r="I7" s="262">
        <f>E4-1</f>
        <v>2014</v>
      </c>
      <c r="J7" s="276"/>
    </row>
    <row r="8" spans="1:16" ht="14.1" customHeight="1" x14ac:dyDescent="0.2">
      <c r="A8" s="280"/>
      <c r="B8" s="375"/>
      <c r="D8" s="971" t="s">
        <v>71</v>
      </c>
      <c r="E8" s="939"/>
      <c r="F8" s="333" t="s">
        <v>226</v>
      </c>
      <c r="G8" s="984"/>
      <c r="H8" s="972" t="s">
        <v>71</v>
      </c>
      <c r="I8" s="939"/>
      <c r="J8" s="351" t="s">
        <v>226</v>
      </c>
    </row>
    <row r="9" spans="1:16" ht="12" customHeight="1" x14ac:dyDescent="0.2">
      <c r="A9" s="252"/>
      <c r="B9" s="376"/>
      <c r="C9" s="376"/>
      <c r="D9" s="438" t="s">
        <v>15</v>
      </c>
      <c r="E9" s="378" t="s">
        <v>1</v>
      </c>
      <c r="F9" s="334" t="s">
        <v>128</v>
      </c>
      <c r="G9" s="985"/>
      <c r="H9" s="283" t="s">
        <v>15</v>
      </c>
      <c r="I9" s="268" t="s">
        <v>1</v>
      </c>
      <c r="J9" s="352" t="s">
        <v>128</v>
      </c>
    </row>
    <row r="10" spans="1:16" ht="12" customHeight="1" x14ac:dyDescent="0.2">
      <c r="A10" s="986" t="s">
        <v>4</v>
      </c>
      <c r="B10" s="986"/>
      <c r="C10" s="371"/>
      <c r="D10" s="490">
        <f>E7</f>
        <v>2015</v>
      </c>
      <c r="E10" s="370"/>
      <c r="F10" s="335"/>
      <c r="G10" s="317"/>
      <c r="H10" s="488">
        <f>I7</f>
        <v>2014</v>
      </c>
      <c r="I10" s="367"/>
      <c r="J10" s="353"/>
    </row>
    <row r="11" spans="1:16" ht="12" customHeight="1" x14ac:dyDescent="0.2">
      <c r="A11" s="97"/>
      <c r="B11" s="97"/>
      <c r="C11" s="373" t="s">
        <v>17</v>
      </c>
      <c r="D11" s="90">
        <f>'7'!E15</f>
        <v>34469.678999999996</v>
      </c>
      <c r="E11" s="98">
        <f>'7'!F15</f>
        <v>365962.81406599999</v>
      </c>
      <c r="F11" s="336">
        <f>D11/$D$25</f>
        <v>3.555376355447587E-2</v>
      </c>
      <c r="G11" s="829">
        <f>(D11-H11)/H11</f>
        <v>0.17415048382467468</v>
      </c>
      <c r="H11" s="98">
        <f>'7'!I15</f>
        <v>29357.121999999996</v>
      </c>
      <c r="I11" s="98">
        <f>'7'!J15</f>
        <v>312918.42227899999</v>
      </c>
      <c r="J11" s="354">
        <f>H11/$H$25</f>
        <v>3.3598002926273178E-2</v>
      </c>
    </row>
    <row r="12" spans="1:16" ht="12" customHeight="1" x14ac:dyDescent="0.2">
      <c r="A12" s="97"/>
      <c r="B12" s="97"/>
      <c r="C12" s="373" t="s">
        <v>18</v>
      </c>
      <c r="D12" s="90">
        <f>'7'!E22</f>
        <v>146027.20000000001</v>
      </c>
      <c r="E12" s="98">
        <f>'7'!F22</f>
        <v>1553351.3859270001</v>
      </c>
      <c r="F12" s="336">
        <f>D12/$D$25</f>
        <v>0.15061981114828948</v>
      </c>
      <c r="G12" s="829">
        <f t="shared" ref="G12" si="0">(D12-H12)/H12</f>
        <v>0.13430461436166091</v>
      </c>
      <c r="H12" s="98">
        <f>'7'!I22</f>
        <v>128737.2</v>
      </c>
      <c r="I12" s="98">
        <f>'7'!J22</f>
        <v>1369582.0508830003</v>
      </c>
      <c r="J12" s="354">
        <f t="shared" ref="J12:J24" si="1">H12/$H$25</f>
        <v>0.14733436139687725</v>
      </c>
      <c r="K12" s="286"/>
      <c r="L12" s="286"/>
      <c r="N12" s="286"/>
      <c r="O12" s="286"/>
      <c r="P12" s="286"/>
    </row>
    <row r="13" spans="1:16" ht="12" customHeight="1" x14ac:dyDescent="0.2">
      <c r="A13" s="294"/>
      <c r="B13" s="270"/>
      <c r="C13" s="373" t="s">
        <v>19</v>
      </c>
      <c r="D13" s="90">
        <f>'7'!E29</f>
        <v>25601.599999999999</v>
      </c>
      <c r="E13" s="98">
        <f>'7'!F29</f>
        <v>272333.62660199997</v>
      </c>
      <c r="F13" s="336">
        <f>D13/$D$25</f>
        <v>2.6406780086819768E-2</v>
      </c>
      <c r="G13" s="829">
        <f>(D13-H13)/H13</f>
        <v>9.930481903396042E-2</v>
      </c>
      <c r="H13" s="98">
        <f>'7'!I29</f>
        <v>23288.899999999998</v>
      </c>
      <c r="I13" s="98">
        <f>'7'!J29</f>
        <v>247761.56453599996</v>
      </c>
      <c r="J13" s="354">
        <f t="shared" si="1"/>
        <v>2.6653175687646882E-2</v>
      </c>
      <c r="K13" s="286"/>
      <c r="L13" s="286"/>
      <c r="N13" s="286"/>
      <c r="O13" s="286"/>
      <c r="P13" s="286"/>
    </row>
    <row r="14" spans="1:16" ht="12" customHeight="1" x14ac:dyDescent="0.2">
      <c r="A14" s="294"/>
      <c r="B14" s="270"/>
      <c r="C14" s="373" t="s">
        <v>20</v>
      </c>
      <c r="D14" s="90">
        <f>'7'!E36</f>
        <v>40545.099999999991</v>
      </c>
      <c r="E14" s="98">
        <f>'7'!F36</f>
        <v>431295.3261890001</v>
      </c>
      <c r="F14" s="336">
        <f>D14/$D$25</f>
        <v>4.1820258862653739E-2</v>
      </c>
      <c r="G14" s="829">
        <f>(D14-H14)/H14</f>
        <v>8.5978074251843242E-2</v>
      </c>
      <c r="H14" s="98">
        <f>'7'!I36</f>
        <v>37335.1</v>
      </c>
      <c r="I14" s="98">
        <f>'7'!J36</f>
        <v>397192.35930500005</v>
      </c>
      <c r="J14" s="354">
        <f t="shared" si="1"/>
        <v>4.2728466334428214E-2</v>
      </c>
      <c r="K14" s="286"/>
      <c r="L14" s="286"/>
      <c r="N14" s="286"/>
      <c r="O14" s="286"/>
      <c r="P14" s="286"/>
    </row>
    <row r="15" spans="1:16" ht="12" customHeight="1" x14ac:dyDescent="0.2">
      <c r="A15" s="294"/>
      <c r="B15" s="270"/>
      <c r="C15" s="373" t="s">
        <v>21</v>
      </c>
      <c r="D15" s="90">
        <f>'7'!E43</f>
        <v>43547.4</v>
      </c>
      <c r="E15" s="98">
        <f>'7'!F43</f>
        <v>463231.69228499994</v>
      </c>
      <c r="F15" s="336">
        <f t="shared" ref="F15:F23" si="2">D15/$D$25</f>
        <v>4.4916982343008845E-2</v>
      </c>
      <c r="G15" s="830">
        <f>(D15-H15)/H15</f>
        <v>0.10091339554097145</v>
      </c>
      <c r="H15" s="98">
        <f>'7'!I43</f>
        <v>39555.699999999997</v>
      </c>
      <c r="I15" s="98">
        <f>'7'!J43</f>
        <v>420816.11527199991</v>
      </c>
      <c r="J15" s="354">
        <f t="shared" si="1"/>
        <v>4.5269850510236798E-2</v>
      </c>
      <c r="K15" s="286"/>
      <c r="L15" s="286"/>
      <c r="N15" s="286"/>
      <c r="O15" s="286"/>
      <c r="P15" s="286"/>
    </row>
    <row r="16" spans="1:16" ht="12" customHeight="1" x14ac:dyDescent="0.2">
      <c r="A16" s="276"/>
      <c r="B16" s="276"/>
      <c r="C16" s="373" t="s">
        <v>22</v>
      </c>
      <c r="D16" s="90">
        <f>'7'!E50</f>
        <v>104690.731</v>
      </c>
      <c r="E16" s="98">
        <f>'7'!F50</f>
        <v>1113455.47612</v>
      </c>
      <c r="F16" s="336">
        <f t="shared" si="2"/>
        <v>0.10798329442868435</v>
      </c>
      <c r="G16" s="830">
        <f t="shared" ref="G16:G27" si="3">(D16-H16)/H16</f>
        <v>0.10787089737974317</v>
      </c>
      <c r="H16" s="98">
        <f>'7'!I50</f>
        <v>94497.23000000001</v>
      </c>
      <c r="I16" s="98">
        <f>'7'!J50</f>
        <v>1005144.916232</v>
      </c>
      <c r="J16" s="354">
        <f t="shared" si="1"/>
        <v>0.10814814238482608</v>
      </c>
      <c r="K16" s="286"/>
      <c r="L16" s="286"/>
      <c r="N16" s="286"/>
      <c r="O16" s="286"/>
      <c r="P16" s="286"/>
    </row>
    <row r="17" spans="1:15" ht="12" customHeight="1" x14ac:dyDescent="0.2">
      <c r="A17" s="276"/>
      <c r="B17" s="276"/>
      <c r="C17" s="373" t="s">
        <v>23</v>
      </c>
      <c r="D17" s="90">
        <f>'7'!E57</f>
        <v>55414.3</v>
      </c>
      <c r="E17" s="98">
        <f>'7'!F57</f>
        <v>589463.66574399988</v>
      </c>
      <c r="F17" s="336">
        <f t="shared" si="2"/>
        <v>5.7157100875142836E-2</v>
      </c>
      <c r="G17" s="830">
        <f t="shared" si="3"/>
        <v>8.1978768229273566E-2</v>
      </c>
      <c r="H17" s="98">
        <f>'7'!I57</f>
        <v>51215.7</v>
      </c>
      <c r="I17" s="98">
        <f>'7'!J57</f>
        <v>544861.98277600016</v>
      </c>
      <c r="J17" s="354">
        <f t="shared" si="1"/>
        <v>5.8614234681149235E-2</v>
      </c>
      <c r="K17" s="286"/>
      <c r="L17" s="286"/>
    </row>
    <row r="18" spans="1:15" ht="12" customHeight="1" x14ac:dyDescent="0.2">
      <c r="A18" s="276"/>
      <c r="B18" s="276"/>
      <c r="C18" s="373" t="s">
        <v>24</v>
      </c>
      <c r="D18" s="90">
        <f>'8'!E15</f>
        <v>44341.3</v>
      </c>
      <c r="E18" s="98">
        <f>'8'!F15</f>
        <v>471675.630962</v>
      </c>
      <c r="F18" s="336">
        <f t="shared" si="2"/>
        <v>4.5735850800875784E-2</v>
      </c>
      <c r="G18" s="830">
        <f t="shared" si="3"/>
        <v>0.10829698689028588</v>
      </c>
      <c r="H18" s="98">
        <f>'8'!I15</f>
        <v>40008.5</v>
      </c>
      <c r="I18" s="98">
        <f>'8'!J15</f>
        <v>425634.26558999997</v>
      </c>
      <c r="J18" s="354">
        <f t="shared" si="1"/>
        <v>4.5788061243735016E-2</v>
      </c>
      <c r="K18" s="286"/>
      <c r="L18" s="286"/>
      <c r="M18" s="286"/>
    </row>
    <row r="19" spans="1:15" ht="12" customHeight="1" x14ac:dyDescent="0.2">
      <c r="A19" s="276"/>
      <c r="B19" s="276"/>
      <c r="C19" s="373" t="s">
        <v>25</v>
      </c>
      <c r="D19" s="90">
        <f>'8'!E22</f>
        <v>46960.800000000003</v>
      </c>
      <c r="E19" s="98">
        <f>'8'!F22</f>
        <v>499542.04605500004</v>
      </c>
      <c r="F19" s="336">
        <f t="shared" si="2"/>
        <v>4.8437735075195526E-2</v>
      </c>
      <c r="G19" s="830">
        <f t="shared" si="3"/>
        <v>8.9256761928619782E-2</v>
      </c>
      <c r="H19" s="98">
        <f>'8'!I22</f>
        <v>43112.7</v>
      </c>
      <c r="I19" s="98">
        <f>'8'!J22</f>
        <v>458657.97687299998</v>
      </c>
      <c r="J19" s="354">
        <f t="shared" si="1"/>
        <v>4.9340688803198682E-2</v>
      </c>
      <c r="K19" s="289"/>
      <c r="L19" s="289"/>
      <c r="M19" s="286"/>
    </row>
    <row r="20" spans="1:15" ht="12" customHeight="1" x14ac:dyDescent="0.2">
      <c r="A20" s="276"/>
      <c r="B20" s="276"/>
      <c r="C20" s="373" t="s">
        <v>3</v>
      </c>
      <c r="D20" s="90">
        <f>'8'!E29</f>
        <v>124250.69113713095</v>
      </c>
      <c r="E20" s="98">
        <f>'8'!F29</f>
        <v>1318697.6869998479</v>
      </c>
      <c r="F20" s="336">
        <f t="shared" si="2"/>
        <v>0.12815842277410722</v>
      </c>
      <c r="G20" s="830">
        <f t="shared" si="3"/>
        <v>0.12638197162792444</v>
      </c>
      <c r="H20" s="98">
        <f>'8'!I29</f>
        <v>110309.55241369439</v>
      </c>
      <c r="I20" s="98">
        <f>'8'!J29</f>
        <v>1167425.3620002668</v>
      </c>
      <c r="J20" s="354">
        <f t="shared" si="1"/>
        <v>0.12624468654628981</v>
      </c>
      <c r="K20" s="286"/>
      <c r="L20" s="286"/>
      <c r="M20" s="286"/>
      <c r="N20" s="286"/>
      <c r="O20" s="286"/>
    </row>
    <row r="21" spans="1:15" ht="12" customHeight="1" x14ac:dyDescent="0.2">
      <c r="A21" s="276"/>
      <c r="B21" s="276"/>
      <c r="C21" s="373" t="s">
        <v>26</v>
      </c>
      <c r="D21" s="90">
        <f>'8'!E36</f>
        <v>114917.545</v>
      </c>
      <c r="E21" s="98">
        <f>'8'!F36</f>
        <v>1222402.5272839996</v>
      </c>
      <c r="F21" s="336">
        <f t="shared" si="2"/>
        <v>0.11853174563043772</v>
      </c>
      <c r="G21" s="830">
        <f t="shared" si="3"/>
        <v>8.8520229138971604E-2</v>
      </c>
      <c r="H21" s="98">
        <f>'8'!I36</f>
        <v>105572.264</v>
      </c>
      <c r="I21" s="98">
        <f>'8'!J36</f>
        <v>1123159.901664</v>
      </c>
      <c r="J21" s="354">
        <f t="shared" si="1"/>
        <v>0.12082305734210884</v>
      </c>
      <c r="K21" s="286"/>
      <c r="L21" s="286"/>
      <c r="M21" s="286"/>
      <c r="N21" s="286"/>
      <c r="O21" s="286"/>
    </row>
    <row r="22" spans="1:15" ht="12" customHeight="1" x14ac:dyDescent="0.2">
      <c r="A22" s="276"/>
      <c r="B22" s="276"/>
      <c r="C22" s="373" t="s">
        <v>27</v>
      </c>
      <c r="D22" s="90">
        <f>'8'!E43</f>
        <v>93152.859999999986</v>
      </c>
      <c r="E22" s="98">
        <f>'8'!F43</f>
        <v>990795.95070300042</v>
      </c>
      <c r="F22" s="336">
        <f t="shared" si="2"/>
        <v>9.6082552984122452E-2</v>
      </c>
      <c r="G22" s="830">
        <f t="shared" si="3"/>
        <v>0.16375677687923246</v>
      </c>
      <c r="H22" s="98">
        <f>'8'!I43</f>
        <v>80044.956000000006</v>
      </c>
      <c r="I22" s="98">
        <f>'8'!J43</f>
        <v>851422.59457900014</v>
      </c>
      <c r="J22" s="354">
        <f t="shared" si="1"/>
        <v>9.160811696464688E-2</v>
      </c>
      <c r="K22" s="286"/>
      <c r="L22" s="286"/>
      <c r="M22" s="286"/>
      <c r="N22" s="286"/>
      <c r="O22" s="286"/>
    </row>
    <row r="23" spans="1:15" ht="12" customHeight="1" x14ac:dyDescent="0.2">
      <c r="A23" s="276"/>
      <c r="B23" s="276"/>
      <c r="C23" s="373" t="s">
        <v>28</v>
      </c>
      <c r="D23" s="90">
        <f>'8'!E50</f>
        <v>43834.379000000001</v>
      </c>
      <c r="E23" s="98">
        <f>'8'!F50</f>
        <v>466176.84972800012</v>
      </c>
      <c r="F23" s="336">
        <f t="shared" si="2"/>
        <v>4.5212986942039193E-2</v>
      </c>
      <c r="G23" s="830">
        <f t="shared" si="3"/>
        <v>3.2690348542111961E-2</v>
      </c>
      <c r="H23" s="98">
        <f>'8'!I50</f>
        <v>42446.779000000002</v>
      </c>
      <c r="I23" s="98">
        <f>'8'!J50</f>
        <v>451696.73413099995</v>
      </c>
      <c r="J23" s="354">
        <f t="shared" si="1"/>
        <v>4.8578569965164541E-2</v>
      </c>
      <c r="K23" s="286"/>
      <c r="L23" s="286"/>
      <c r="M23" s="286"/>
      <c r="N23" s="286"/>
      <c r="O23" s="286"/>
    </row>
    <row r="24" spans="1:15" ht="12" customHeight="1" x14ac:dyDescent="0.2">
      <c r="A24" s="276"/>
      <c r="B24" s="276"/>
      <c r="C24" s="373" t="s">
        <v>29</v>
      </c>
      <c r="D24" s="90">
        <f>'8'!E57</f>
        <v>51755</v>
      </c>
      <c r="E24" s="98">
        <f>'8'!F57</f>
        <v>550539.36968600005</v>
      </c>
      <c r="F24" s="336">
        <f>D24/$D$25</f>
        <v>5.3382714494147131E-2</v>
      </c>
      <c r="G24" s="830">
        <f t="shared" si="3"/>
        <v>7.1662998171619183E-2</v>
      </c>
      <c r="H24" s="98">
        <f>'8'!I57</f>
        <v>48294.100000000006</v>
      </c>
      <c r="I24" s="98">
        <f>'8'!J57</f>
        <v>513781.19279400003</v>
      </c>
      <c r="J24" s="354">
        <f t="shared" si="1"/>
        <v>5.5270585213418738E-2</v>
      </c>
      <c r="K24" s="286"/>
      <c r="L24" s="286"/>
      <c r="M24" s="286"/>
      <c r="N24" s="286"/>
      <c r="O24" s="286"/>
    </row>
    <row r="25" spans="1:15" ht="12" customHeight="1" x14ac:dyDescent="0.2">
      <c r="A25" s="436"/>
      <c r="B25" s="436"/>
      <c r="C25" s="431" t="s">
        <v>2</v>
      </c>
      <c r="D25" s="432">
        <f>SUM(D11:D24)</f>
        <v>969508.58513713104</v>
      </c>
      <c r="E25" s="433">
        <f>SUM(E11:E24)</f>
        <v>10308924.048350848</v>
      </c>
      <c r="F25" s="434">
        <f>SUM(F11:F24)</f>
        <v>1.0000000000000002</v>
      </c>
      <c r="G25" s="831">
        <f>(D25-H25)/H25</f>
        <v>0.10956217985142756</v>
      </c>
      <c r="H25" s="433">
        <f>SUM(H11:H24)</f>
        <v>873775.80341369426</v>
      </c>
      <c r="I25" s="433">
        <f>SUM(I11:I24)</f>
        <v>9290055.4389142673</v>
      </c>
      <c r="J25" s="435">
        <f>SUM(J11:J24)</f>
        <v>1</v>
      </c>
      <c r="K25" s="289"/>
      <c r="M25" s="286"/>
      <c r="N25" s="286"/>
      <c r="O25" s="286"/>
    </row>
    <row r="26" spans="1:15" ht="12" customHeight="1" x14ac:dyDescent="0.2">
      <c r="A26" s="436"/>
      <c r="B26" s="436"/>
      <c r="C26" s="373" t="s">
        <v>179</v>
      </c>
      <c r="D26" s="250">
        <f>'5'!E16</f>
        <v>20358.369064683975</v>
      </c>
      <c r="E26" s="175">
        <f>'5'!F16</f>
        <v>216477.32603215217</v>
      </c>
      <c r="F26" s="349"/>
      <c r="G26" s="830">
        <f t="shared" si="3"/>
        <v>-4.7166033035247593E-2</v>
      </c>
      <c r="H26" s="175">
        <f>'5'!I16</f>
        <v>21366.124393671074</v>
      </c>
      <c r="I26" s="175">
        <f>'5'!J16</f>
        <v>228192.63881999999</v>
      </c>
      <c r="J26" s="364"/>
      <c r="K26" s="289"/>
      <c r="M26" s="286"/>
      <c r="N26" s="286"/>
      <c r="O26" s="286"/>
    </row>
    <row r="27" spans="1:15" ht="12" customHeight="1" x14ac:dyDescent="0.2">
      <c r="A27" s="436"/>
      <c r="B27" s="436"/>
      <c r="C27" s="374" t="s">
        <v>5</v>
      </c>
      <c r="D27" s="253">
        <f>SUM(D25:D26)</f>
        <v>989866.95420181507</v>
      </c>
      <c r="E27" s="254">
        <f>SUM(E25:E26)</f>
        <v>10525401.374383001</v>
      </c>
      <c r="F27" s="338"/>
      <c r="G27" s="320">
        <f t="shared" si="3"/>
        <v>0.10582123733883975</v>
      </c>
      <c r="H27" s="288">
        <f>SUM(H25:H26)</f>
        <v>895141.92780736531</v>
      </c>
      <c r="I27" s="254">
        <f>SUM(I25:I26)</f>
        <v>9518248.0777342673</v>
      </c>
      <c r="J27" s="356"/>
    </row>
    <row r="28" spans="1:15" ht="12" customHeight="1" x14ac:dyDescent="0.2">
      <c r="A28" s="294"/>
      <c r="B28" s="270"/>
      <c r="C28" s="259"/>
      <c r="D28" s="491"/>
      <c r="E28" s="380"/>
      <c r="F28" s="381"/>
      <c r="G28" s="382"/>
      <c r="H28" s="383"/>
      <c r="I28" s="380"/>
      <c r="J28" s="384"/>
    </row>
    <row r="29" spans="1:15" ht="12" customHeight="1" x14ac:dyDescent="0.2">
      <c r="A29" s="982"/>
      <c r="B29" s="982"/>
      <c r="C29" s="982"/>
      <c r="D29" s="492"/>
      <c r="E29" s="176"/>
      <c r="F29" s="340"/>
      <c r="G29" s="322"/>
      <c r="H29" s="300"/>
      <c r="I29" s="301"/>
      <c r="J29" s="358"/>
    </row>
    <row r="30" spans="1:15" ht="4.5" customHeight="1" x14ac:dyDescent="0.2"/>
    <row r="31" spans="1:15" ht="12" customHeight="1" x14ac:dyDescent="0.2">
      <c r="A31" s="1000" t="s">
        <v>249</v>
      </c>
      <c r="B31" s="1000"/>
      <c r="C31" s="1000"/>
      <c r="D31" s="1000"/>
      <c r="E31" s="1000"/>
      <c r="F31" s="1000"/>
      <c r="G31" s="1000"/>
      <c r="H31" s="1000"/>
      <c r="I31" s="1000"/>
      <c r="J31" s="1000"/>
    </row>
    <row r="32" spans="1:15" ht="12" customHeight="1" x14ac:dyDescent="0.2">
      <c r="A32" s="276"/>
      <c r="B32" s="276"/>
      <c r="C32" s="276"/>
      <c r="D32" s="1001" t="str">
        <f>D7</f>
        <v>Únor</v>
      </c>
      <c r="E32" s="1001"/>
      <c r="F32" s="276"/>
      <c r="G32" s="276"/>
      <c r="H32" s="276"/>
      <c r="I32" s="276"/>
      <c r="J32" s="276"/>
    </row>
    <row r="33" spans="1:10" ht="12" customHeight="1" x14ac:dyDescent="0.2">
      <c r="A33" s="276"/>
      <c r="B33" s="276"/>
      <c r="C33" s="276"/>
      <c r="D33" s="276"/>
      <c r="E33" s="276"/>
      <c r="F33" s="276"/>
      <c r="G33" s="276"/>
      <c r="H33" s="276"/>
      <c r="I33" s="276"/>
      <c r="J33" s="276"/>
    </row>
    <row r="34" spans="1:10" ht="12" customHeight="1" x14ac:dyDescent="0.2">
      <c r="A34" s="276"/>
      <c r="B34" s="276"/>
      <c r="C34" s="276"/>
      <c r="D34" s="276"/>
      <c r="E34" s="276"/>
      <c r="F34" s="276"/>
      <c r="G34" s="276"/>
      <c r="H34" s="276"/>
      <c r="I34" s="276"/>
      <c r="J34" s="276"/>
    </row>
    <row r="35" spans="1:10" ht="12" customHeight="1" x14ac:dyDescent="0.2">
      <c r="A35" s="276"/>
      <c r="B35" s="276"/>
      <c r="C35" s="276"/>
      <c r="D35" s="276"/>
      <c r="E35" s="276"/>
      <c r="F35" s="276"/>
      <c r="G35" s="276"/>
      <c r="H35" s="276"/>
      <c r="I35" s="276"/>
      <c r="J35" s="276"/>
    </row>
    <row r="36" spans="1:10" ht="12" customHeight="1" x14ac:dyDescent="0.2">
      <c r="A36" s="276"/>
      <c r="B36" s="276"/>
      <c r="C36" s="276"/>
      <c r="D36" s="276"/>
      <c r="E36" s="276"/>
      <c r="F36" s="276"/>
      <c r="G36" s="276"/>
      <c r="H36" s="276"/>
      <c r="I36" s="276"/>
      <c r="J36" s="276"/>
    </row>
    <row r="37" spans="1:10" ht="12" customHeight="1" x14ac:dyDescent="0.2">
      <c r="A37" s="276"/>
      <c r="B37" s="276"/>
      <c r="C37" s="276"/>
      <c r="D37" s="276"/>
      <c r="E37" s="276"/>
      <c r="F37" s="276"/>
      <c r="G37" s="276"/>
      <c r="H37" s="276"/>
      <c r="I37" s="276"/>
      <c r="J37" s="276"/>
    </row>
    <row r="38" spans="1:10" ht="12" customHeight="1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</row>
    <row r="39" spans="1:10" ht="12" customHeight="1" x14ac:dyDescent="0.2">
      <c r="A39" s="276"/>
      <c r="B39" s="276"/>
      <c r="C39" s="276"/>
      <c r="D39" s="276"/>
      <c r="E39" s="276"/>
      <c r="F39" s="276"/>
      <c r="G39" s="276"/>
      <c r="H39" s="276"/>
      <c r="I39" s="276"/>
      <c r="J39" s="276"/>
    </row>
    <row r="40" spans="1:10" ht="12" customHeight="1" x14ac:dyDescent="0.2">
      <c r="A40" s="276"/>
      <c r="B40" s="276"/>
      <c r="C40" s="276"/>
      <c r="D40" s="276"/>
      <c r="E40" s="276"/>
      <c r="F40" s="276"/>
      <c r="G40" s="276"/>
      <c r="H40" s="276"/>
      <c r="I40" s="276"/>
      <c r="J40" s="276"/>
    </row>
    <row r="41" spans="1:10" ht="12" customHeight="1" x14ac:dyDescent="0.2">
      <c r="A41" s="276"/>
      <c r="B41" s="276"/>
      <c r="C41" s="276"/>
      <c r="D41" s="276"/>
      <c r="E41" s="276"/>
      <c r="F41" s="276"/>
      <c r="G41" s="276"/>
      <c r="H41" s="276"/>
      <c r="I41" s="276"/>
      <c r="J41" s="276"/>
    </row>
    <row r="42" spans="1:10" ht="12" customHeight="1" x14ac:dyDescent="0.2">
      <c r="A42" s="276"/>
      <c r="B42" s="276"/>
      <c r="C42" s="276"/>
      <c r="D42" s="276"/>
      <c r="E42" s="276"/>
      <c r="F42" s="276"/>
      <c r="G42" s="276"/>
      <c r="H42" s="276"/>
      <c r="I42" s="276"/>
      <c r="J42" s="276"/>
    </row>
    <row r="43" spans="1:10" ht="12" customHeight="1" x14ac:dyDescent="0.2">
      <c r="A43" s="276"/>
      <c r="B43" s="276"/>
      <c r="C43" s="276"/>
      <c r="D43" s="276"/>
      <c r="E43" s="276"/>
      <c r="F43" s="276"/>
      <c r="G43" s="276"/>
      <c r="H43" s="276"/>
      <c r="I43" s="276"/>
      <c r="J43" s="276"/>
    </row>
    <row r="44" spans="1:10" ht="12" customHeight="1" x14ac:dyDescent="0.2">
      <c r="A44" s="276"/>
      <c r="B44" s="276"/>
      <c r="C44" s="276"/>
      <c r="D44" s="276"/>
      <c r="E44" s="276"/>
      <c r="F44" s="276"/>
      <c r="G44" s="276"/>
      <c r="H44" s="276"/>
      <c r="I44" s="276"/>
      <c r="J44" s="276"/>
    </row>
    <row r="45" spans="1:10" ht="12" customHeight="1" x14ac:dyDescent="0.2">
      <c r="A45" s="276"/>
      <c r="B45" s="276"/>
      <c r="C45" s="276"/>
      <c r="D45" s="277"/>
      <c r="E45" s="276"/>
      <c r="F45" s="278"/>
      <c r="G45" s="998" t="s">
        <v>247</v>
      </c>
      <c r="H45" s="278"/>
      <c r="I45" s="278"/>
      <c r="J45" s="278"/>
    </row>
    <row r="46" spans="1:10" ht="12" customHeight="1" x14ac:dyDescent="0.25">
      <c r="A46" s="273"/>
      <c r="B46" s="128"/>
      <c r="C46" s="276"/>
      <c r="D46" s="266" t="str">
        <f>D7</f>
        <v>Únor</v>
      </c>
      <c r="E46" s="267">
        <f>E7</f>
        <v>2015</v>
      </c>
      <c r="F46" s="267"/>
      <c r="G46" s="999"/>
      <c r="H46" s="401" t="str">
        <f>H7</f>
        <v>Únor</v>
      </c>
      <c r="I46" s="262">
        <f>I7</f>
        <v>2014</v>
      </c>
      <c r="J46" s="278"/>
    </row>
    <row r="47" spans="1:10" ht="12" customHeight="1" x14ac:dyDescent="0.25">
      <c r="A47" s="280"/>
      <c r="B47" s="281"/>
      <c r="C47" s="265"/>
      <c r="D47" s="971" t="s">
        <v>246</v>
      </c>
      <c r="E47" s="939"/>
      <c r="F47" s="429"/>
      <c r="G47" s="999"/>
      <c r="H47" s="972" t="s">
        <v>246</v>
      </c>
      <c r="I47" s="939"/>
      <c r="J47" s="88"/>
    </row>
    <row r="48" spans="1:10" ht="12" customHeight="1" x14ac:dyDescent="0.2">
      <c r="A48" s="280"/>
      <c r="B48" s="375"/>
      <c r="D48" s="437" t="s">
        <v>69</v>
      </c>
      <c r="E48" s="351" t="s">
        <v>143</v>
      </c>
      <c r="F48" s="397" t="s">
        <v>144</v>
      </c>
      <c r="G48" s="984"/>
      <c r="H48" s="422" t="s">
        <v>69</v>
      </c>
      <c r="I48" s="377" t="s">
        <v>143</v>
      </c>
      <c r="J48" s="377" t="s">
        <v>144</v>
      </c>
    </row>
    <row r="49" spans="1:10" ht="12" customHeight="1" x14ac:dyDescent="0.2">
      <c r="A49" s="252"/>
      <c r="B49" s="376"/>
      <c r="C49" s="376"/>
      <c r="D49" s="438" t="s">
        <v>14</v>
      </c>
      <c r="E49" s="352" t="s">
        <v>14</v>
      </c>
      <c r="F49" s="268" t="s">
        <v>14</v>
      </c>
      <c r="G49" s="438" t="s">
        <v>14</v>
      </c>
      <c r="H49" s="423" t="s">
        <v>14</v>
      </c>
      <c r="I49" s="268" t="s">
        <v>14</v>
      </c>
      <c r="J49" s="268" t="s">
        <v>14</v>
      </c>
    </row>
    <row r="50" spans="1:10" ht="12" customHeight="1" x14ac:dyDescent="0.2">
      <c r="A50" s="986" t="s">
        <v>4</v>
      </c>
      <c r="B50" s="986"/>
      <c r="C50" s="367"/>
      <c r="D50" s="489"/>
      <c r="E50" s="353"/>
      <c r="F50" s="398"/>
      <c r="G50" s="317"/>
      <c r="H50" s="424"/>
      <c r="I50" s="363"/>
      <c r="J50" s="367"/>
    </row>
    <row r="51" spans="1:10" ht="12" customHeight="1" x14ac:dyDescent="0.2">
      <c r="A51" s="97"/>
      <c r="B51" s="97"/>
      <c r="C51" s="373" t="s">
        <v>17</v>
      </c>
      <c r="D51" s="418">
        <f>INDEX([5]MZ!D3:BK3,1,5*T!$A$4-4)</f>
        <v>-0.41785714285714298</v>
      </c>
      <c r="E51" s="443">
        <f>INDEX([5]MZ!E3:BL3,1,5*T!$A$4-4)</f>
        <v>2.4</v>
      </c>
      <c r="F51" s="405">
        <f>INDEX([5]MZ!F3:BM3,1,5*T!$A$4-4)</f>
        <v>-4</v>
      </c>
      <c r="G51" s="441">
        <f>D51-H51</f>
        <v>-1.9392857142857145</v>
      </c>
      <c r="H51" s="425">
        <f>INDEX([6]MZ!D3:BK3,1,5*T!$A$4-4)</f>
        <v>1.5214285714285716</v>
      </c>
      <c r="I51" s="443">
        <f>INDEX([6]MZ!E3:BL3,1,5*T!$A$4-4)</f>
        <v>4.5</v>
      </c>
      <c r="J51" s="407">
        <f>INDEX([6]MZ!F3:BM3,1,5*T!$A$4-4)</f>
        <v>-2.8</v>
      </c>
    </row>
    <row r="52" spans="1:10" ht="12" customHeight="1" x14ac:dyDescent="0.2">
      <c r="A52" s="97"/>
      <c r="B52" s="97"/>
      <c r="C52" s="373" t="s">
        <v>18</v>
      </c>
      <c r="D52" s="418">
        <f>INDEX([5]MZ!D4:BK4,1,5*T!$A$4-4)</f>
        <v>1.4071428571428568</v>
      </c>
      <c r="E52" s="443">
        <f>INDEX([5]MZ!E4:BL4,1,5*T!$A$4-4)</f>
        <v>5.5</v>
      </c>
      <c r="F52" s="405">
        <f>INDEX([5]MZ!F4:BM4,1,5*T!$A$4-4)</f>
        <v>-2.5</v>
      </c>
      <c r="G52" s="441">
        <f t="shared" ref="G52:G65" si="4">D52-H52</f>
        <v>-1.6571428571428573</v>
      </c>
      <c r="H52" s="425">
        <f>INDEX([6]MZ!D4:BK4,1,5*T!$A$4-4)</f>
        <v>3.0642857142857141</v>
      </c>
      <c r="I52" s="443">
        <f>INDEX([6]MZ!E4:BL4,1,5*T!$A$4-4)</f>
        <v>5.7</v>
      </c>
      <c r="J52" s="407">
        <f>INDEX([6]MZ!F4:BM4,1,5*T!$A$4-4)</f>
        <v>-1.2</v>
      </c>
    </row>
    <row r="53" spans="1:10" ht="12" customHeight="1" x14ac:dyDescent="0.2">
      <c r="A53" s="294"/>
      <c r="B53" s="270"/>
      <c r="C53" s="373" t="s">
        <v>19</v>
      </c>
      <c r="D53" s="418">
        <f>INDEX([5]MZ!D5:BK5,1,5*T!$A$4-4)</f>
        <v>-1.6392857142857147</v>
      </c>
      <c r="E53" s="443">
        <f>INDEX([5]MZ!E5:BL5,1,5*T!$A$4-4)</f>
        <v>1.3</v>
      </c>
      <c r="F53" s="405">
        <f>INDEX([5]MZ!F5:BM5,1,5*T!$A$4-4)</f>
        <v>-6.4</v>
      </c>
      <c r="G53" s="441">
        <f t="shared" si="4"/>
        <v>-2.5321428571428575</v>
      </c>
      <c r="H53" s="425">
        <f>INDEX([6]MZ!D5:BK5,1,5*T!$A$4-4)</f>
        <v>0.89285714285714302</v>
      </c>
      <c r="I53" s="443">
        <f>INDEX([6]MZ!E5:BL5,1,5*T!$A$4-4)</f>
        <v>3.5</v>
      </c>
      <c r="J53" s="407">
        <f>INDEX([6]MZ!F5:BM5,1,5*T!$A$4-4)</f>
        <v>-3.6</v>
      </c>
    </row>
    <row r="54" spans="1:10" ht="12" customHeight="1" x14ac:dyDescent="0.2">
      <c r="A54" s="294"/>
      <c r="B54" s="270"/>
      <c r="C54" s="373" t="s">
        <v>20</v>
      </c>
      <c r="D54" s="418">
        <f>INDEX([5]MZ!D6:BK6,1,5*T!$A$4-4)</f>
        <v>0.27857142857142841</v>
      </c>
      <c r="E54" s="443">
        <f>INDEX([5]MZ!E6:BL6,1,5*T!$A$4-4)</f>
        <v>3.7</v>
      </c>
      <c r="F54" s="405">
        <f>INDEX([5]MZ!F6:BM6,1,5*T!$A$4-4)</f>
        <v>-3.8</v>
      </c>
      <c r="G54" s="441">
        <f t="shared" si="4"/>
        <v>-2.0500000000000003</v>
      </c>
      <c r="H54" s="425">
        <f>INDEX([6]MZ!D6:BK6,1,5*T!$A$4-4)</f>
        <v>2.3285714285714287</v>
      </c>
      <c r="I54" s="443">
        <f>INDEX([6]MZ!E6:BL6,1,5*T!$A$4-4)</f>
        <v>5.6</v>
      </c>
      <c r="J54" s="407">
        <f>INDEX([6]MZ!F6:BM6,1,5*T!$A$4-4)</f>
        <v>-0.5</v>
      </c>
    </row>
    <row r="55" spans="1:10" ht="12" customHeight="1" x14ac:dyDescent="0.2">
      <c r="A55" s="294"/>
      <c r="B55" s="270"/>
      <c r="C55" s="373" t="s">
        <v>21</v>
      </c>
      <c r="D55" s="418">
        <f>INDEX([5]MZ!D7:BK7,1,5*T!$A$4-4)</f>
        <v>8.928571428571426E-2</v>
      </c>
      <c r="E55" s="443">
        <f>INDEX([5]MZ!E7:BL7,1,5*T!$A$4-4)</f>
        <v>3.8</v>
      </c>
      <c r="F55" s="405">
        <f>INDEX([5]MZ!F7:BM7,1,5*T!$A$4-4)</f>
        <v>-5</v>
      </c>
      <c r="G55" s="441">
        <f t="shared" si="4"/>
        <v>-2.2428571428571424</v>
      </c>
      <c r="H55" s="446">
        <f>INDEX([6]MZ!D7:BK7,1,5*T!$A$4-4)</f>
        <v>2.3321428571428569</v>
      </c>
      <c r="I55" s="444">
        <f>INDEX([6]MZ!E7:BL7,1,5*T!$A$4-4)</f>
        <v>5.2</v>
      </c>
      <c r="J55" s="407">
        <f>INDEX([6]MZ!F7:BM7,1,5*T!$A$4-4)</f>
        <v>-0.5</v>
      </c>
    </row>
    <row r="56" spans="1:10" ht="12" customHeight="1" x14ac:dyDescent="0.2">
      <c r="A56" s="276"/>
      <c r="B56" s="276"/>
      <c r="C56" s="373" t="s">
        <v>22</v>
      </c>
      <c r="D56" s="418">
        <f>INDEX([5]MZ!D8:BK8,1,5*T!$A$4-4)</f>
        <v>0.46785714285714264</v>
      </c>
      <c r="E56" s="443">
        <f>INDEX([5]MZ!E8:BL8,1,5*T!$A$4-4)</f>
        <v>5</v>
      </c>
      <c r="F56" s="405">
        <f>INDEX([5]MZ!F8:BM8,1,5*T!$A$4-4)</f>
        <v>-3.6</v>
      </c>
      <c r="G56" s="441">
        <f t="shared" si="4"/>
        <v>-3.1392857142857147</v>
      </c>
      <c r="H56" s="446">
        <f>INDEX([6]MZ!D8:BK8,1,5*T!$A$4-4)</f>
        <v>3.6071428571428572</v>
      </c>
      <c r="I56" s="444">
        <f>INDEX([6]MZ!E8:BL8,1,5*T!$A$4-4)</f>
        <v>6.5</v>
      </c>
      <c r="J56" s="407">
        <f>INDEX([6]MZ!F8:BM8,1,5*T!$A$4-4)</f>
        <v>-0.2</v>
      </c>
    </row>
    <row r="57" spans="1:10" ht="12" customHeight="1" x14ac:dyDescent="0.2">
      <c r="A57" s="276"/>
      <c r="B57" s="276"/>
      <c r="C57" s="373" t="s">
        <v>23</v>
      </c>
      <c r="D57" s="418">
        <f>INDEX([5]MZ!D9:BK9,1,5*T!$A$4-4)</f>
        <v>0.19285714285714309</v>
      </c>
      <c r="E57" s="443">
        <f>INDEX([5]MZ!E9:BL9,1,5*T!$A$4-4)</f>
        <v>4.0999999999999996</v>
      </c>
      <c r="F57" s="405">
        <f>INDEX([5]MZ!F9:BM9,1,5*T!$A$4-4)</f>
        <v>-3.9</v>
      </c>
      <c r="G57" s="441">
        <f t="shared" si="4"/>
        <v>-2.4642857142857144</v>
      </c>
      <c r="H57" s="446">
        <f>INDEX([6]MZ!D9:BK9,1,5*T!$A$4-4)</f>
        <v>2.6571428571428575</v>
      </c>
      <c r="I57" s="444">
        <f>INDEX([6]MZ!E9:BL9,1,5*T!$A$4-4)</f>
        <v>5.2</v>
      </c>
      <c r="J57" s="407">
        <f>INDEX([6]MZ!F9:BM9,1,5*T!$A$4-4)</f>
        <v>-0.1</v>
      </c>
    </row>
    <row r="58" spans="1:10" ht="12" customHeight="1" x14ac:dyDescent="0.2">
      <c r="A58" s="276"/>
      <c r="B58" s="276"/>
      <c r="C58" s="373" t="s">
        <v>24</v>
      </c>
      <c r="D58" s="418">
        <f>INDEX([5]MZ!D10:BK10,1,5*T!$A$4-4)</f>
        <v>0.2535714285714285</v>
      </c>
      <c r="E58" s="443">
        <f>INDEX([5]MZ!E10:BL10,1,5*T!$A$4-4)</f>
        <v>3.9</v>
      </c>
      <c r="F58" s="405">
        <f>INDEX([5]MZ!F10:BM10,1,5*T!$A$4-4)</f>
        <v>-4.9000000000000004</v>
      </c>
      <c r="G58" s="441">
        <f t="shared" si="4"/>
        <v>-2.1857142857142855</v>
      </c>
      <c r="H58" s="446">
        <f>INDEX([6]MZ!D10:BK10,1,5*T!$A$4-4)</f>
        <v>2.4392857142857141</v>
      </c>
      <c r="I58" s="444">
        <f>INDEX([6]MZ!E10:BL10,1,5*T!$A$4-4)</f>
        <v>5.9</v>
      </c>
      <c r="J58" s="407">
        <f>INDEX([6]MZ!F10:BM10,1,5*T!$A$4-4)</f>
        <v>-0.9</v>
      </c>
    </row>
    <row r="59" spans="1:10" ht="12" customHeight="1" x14ac:dyDescent="0.2">
      <c r="A59" s="276"/>
      <c r="B59" s="276"/>
      <c r="C59" s="373" t="s">
        <v>25</v>
      </c>
      <c r="D59" s="418">
        <f>INDEX([5]MZ!D11:BK11,1,5*T!$A$4-4)</f>
        <v>-0.22500000000000014</v>
      </c>
      <c r="E59" s="443">
        <f>INDEX([5]MZ!E11:BL11,1,5*T!$A$4-4)</f>
        <v>2.7</v>
      </c>
      <c r="F59" s="405">
        <f>INDEX([5]MZ!F11:BM11,1,5*T!$A$4-4)</f>
        <v>-3.8</v>
      </c>
      <c r="G59" s="441">
        <f t="shared" si="4"/>
        <v>-2.217857142857143</v>
      </c>
      <c r="H59" s="446">
        <f>INDEX([6]MZ!D11:BK11,1,5*T!$A$4-4)</f>
        <v>1.9928571428571427</v>
      </c>
      <c r="I59" s="444">
        <f>INDEX([6]MZ!E11:BL11,1,5*T!$A$4-4)</f>
        <v>4.9000000000000004</v>
      </c>
      <c r="J59" s="407">
        <f>INDEX([6]MZ!F11:BM11,1,5*T!$A$4-4)</f>
        <v>-2.2999999999999998</v>
      </c>
    </row>
    <row r="60" spans="1:10" ht="12" customHeight="1" x14ac:dyDescent="0.2">
      <c r="A60" s="276"/>
      <c r="B60" s="276"/>
      <c r="C60" s="373" t="s">
        <v>3</v>
      </c>
      <c r="D60" s="418">
        <f>INDEX([5]MZ!D12:BK12,1,5*T!$A$4-4)</f>
        <v>1.6928571428571431</v>
      </c>
      <c r="E60" s="443">
        <f>INDEX([5]MZ!E12:BL12,1,5*T!$A$4-4)</f>
        <v>5.0999999999999996</v>
      </c>
      <c r="F60" s="405">
        <f>INDEX([5]MZ!F12:BM12,1,5*T!$A$4-4)</f>
        <v>-2.8</v>
      </c>
      <c r="G60" s="441">
        <f t="shared" si="4"/>
        <v>-2.4142857142857137</v>
      </c>
      <c r="H60" s="446">
        <f>INDEX([6]MZ!D12:BK12,1,5*T!$A$4-4)</f>
        <v>4.1071428571428568</v>
      </c>
      <c r="I60" s="444">
        <f>INDEX([6]MZ!E12:BL12,1,5*T!$A$4-4)</f>
        <v>6.6</v>
      </c>
      <c r="J60" s="407">
        <f>INDEX([6]MZ!F12:BM12,1,5*T!$A$4-4)</f>
        <v>-0.1</v>
      </c>
    </row>
    <row r="61" spans="1:10" ht="12" customHeight="1" x14ac:dyDescent="0.2">
      <c r="A61" s="276"/>
      <c r="B61" s="276"/>
      <c r="C61" s="373" t="s">
        <v>26</v>
      </c>
      <c r="D61" s="418">
        <f>INDEX([5]MZ!D13:BK13,1,5*T!$A$4-4)</f>
        <v>0.72857142857142865</v>
      </c>
      <c r="E61" s="443">
        <f>INDEX([5]MZ!E13:BL13,1,5*T!$A$4-4)</f>
        <v>4.0999999999999996</v>
      </c>
      <c r="F61" s="405">
        <f>INDEX([5]MZ!F13:BM13,1,5*T!$A$4-4)</f>
        <v>-3.8</v>
      </c>
      <c r="G61" s="441">
        <f t="shared" si="4"/>
        <v>-1.9999999999999996</v>
      </c>
      <c r="H61" s="446">
        <f>INDEX([6]MZ!D13:BK13,1,5*T!$A$4-4)</f>
        <v>2.7285714285714282</v>
      </c>
      <c r="I61" s="444">
        <f>INDEX([6]MZ!E13:BL13,1,5*T!$A$4-4)</f>
        <v>5.8</v>
      </c>
      <c r="J61" s="407">
        <f>INDEX([6]MZ!F13:BM13,1,5*T!$A$4-4)</f>
        <v>-1</v>
      </c>
    </row>
    <row r="62" spans="1:10" ht="12" customHeight="1" x14ac:dyDescent="0.2">
      <c r="A62" s="276"/>
      <c r="B62" s="276"/>
      <c r="C62" s="373" t="s">
        <v>27</v>
      </c>
      <c r="D62" s="418">
        <f>INDEX([5]MZ!D14:BK14,1,5*T!$A$4-4)</f>
        <v>0.61785714285714277</v>
      </c>
      <c r="E62" s="443">
        <f>INDEX([5]MZ!E14:BL14,1,5*T!$A$4-4)</f>
        <v>3.7</v>
      </c>
      <c r="F62" s="405">
        <f>INDEX([5]MZ!F14:BM14,1,5*T!$A$4-4)</f>
        <v>-3.7</v>
      </c>
      <c r="G62" s="441">
        <f t="shared" si="4"/>
        <v>-1.5571428571428574</v>
      </c>
      <c r="H62" s="446">
        <f>INDEX([6]MZ!D14:BK14,1,5*T!$A$4-4)</f>
        <v>2.1750000000000003</v>
      </c>
      <c r="I62" s="444">
        <f>INDEX([6]MZ!E14:BL14,1,5*T!$A$4-4)</f>
        <v>5.5</v>
      </c>
      <c r="J62" s="407">
        <f>INDEX([6]MZ!F14:BM14,1,5*T!$A$4-4)</f>
        <v>-1.5</v>
      </c>
    </row>
    <row r="63" spans="1:10" ht="12" customHeight="1" x14ac:dyDescent="0.2">
      <c r="A63" s="276"/>
      <c r="B63" s="276"/>
      <c r="C63" s="373" t="s">
        <v>28</v>
      </c>
      <c r="D63" s="418">
        <f>INDEX([5]MZ!D15:BK15,1,5*T!$A$4-4)</f>
        <v>-0.29999999999999982</v>
      </c>
      <c r="E63" s="443">
        <f>INDEX([5]MZ!E15:BL15,1,5*T!$A$4-4)</f>
        <v>3.1</v>
      </c>
      <c r="F63" s="405">
        <f>INDEX([5]MZ!F15:BM15,1,5*T!$A$4-4)</f>
        <v>-5.0999999999999996</v>
      </c>
      <c r="G63" s="441">
        <f t="shared" si="4"/>
        <v>-1.6785714285714282</v>
      </c>
      <c r="H63" s="446">
        <f>INDEX([6]MZ!D15:BK15,1,5*T!$A$4-4)</f>
        <v>1.3785714285714283</v>
      </c>
      <c r="I63" s="444">
        <f>INDEX([6]MZ!E15:BL15,1,5*T!$A$4-4)</f>
        <v>4.9000000000000004</v>
      </c>
      <c r="J63" s="407">
        <f>INDEX([6]MZ!F15:BM15,1,5*T!$A$4-4)</f>
        <v>-3.4</v>
      </c>
    </row>
    <row r="64" spans="1:10" ht="12" customHeight="1" x14ac:dyDescent="0.2">
      <c r="A64" s="276"/>
      <c r="B64" s="276"/>
      <c r="C64" s="373" t="s">
        <v>29</v>
      </c>
      <c r="D64" s="418">
        <f>INDEX([5]MZ!D16:BK16,1,5*T!$A$4-4)</f>
        <v>0.15000000000000011</v>
      </c>
      <c r="E64" s="443">
        <f>INDEX([5]MZ!E16:BL16,1,5*T!$A$4-4)</f>
        <v>4.8</v>
      </c>
      <c r="F64" s="405">
        <f>INDEX([5]MZ!F16:BM16,1,5*T!$A$4-4)</f>
        <v>-5.0999999999999996</v>
      </c>
      <c r="G64" s="441">
        <f t="shared" si="4"/>
        <v>-3.25</v>
      </c>
      <c r="H64" s="446">
        <f>INDEX([6]MZ!D16:BK16,1,5*T!$A$4-4)</f>
        <v>3.4</v>
      </c>
      <c r="I64" s="444">
        <f>INDEX([6]MZ!E16:BL16,1,5*T!$A$4-4)</f>
        <v>6.4</v>
      </c>
      <c r="J64" s="407">
        <f>INDEX([6]MZ!F16:BM16,1,5*T!$A$4-4)</f>
        <v>0.2</v>
      </c>
    </row>
    <row r="65" spans="1:10" ht="12" customHeight="1" x14ac:dyDescent="0.2">
      <c r="A65" s="436"/>
      <c r="B65" s="436"/>
      <c r="C65" s="374" t="s">
        <v>2</v>
      </c>
      <c r="D65" s="419">
        <f>INDEX([5]MZ!D17:BK17,1,5*T!$A$4-4)</f>
        <v>0.22142857142857128</v>
      </c>
      <c r="E65" s="445">
        <f>INDEX([5]MZ!E17:BL17,1,5*T!$A$4-4)</f>
        <v>3.7</v>
      </c>
      <c r="F65" s="409">
        <f>INDEX([5]MZ!F17:BM17,1,5*T!$A$4-4)</f>
        <v>-3.9</v>
      </c>
      <c r="G65" s="442">
        <f t="shared" si="4"/>
        <v>-2.0714285714285721</v>
      </c>
      <c r="H65" s="426">
        <f>INDEX([6]MZ!D17:BK17,1,5*T!$A$4-4)</f>
        <v>2.2928571428571431</v>
      </c>
      <c r="I65" s="445">
        <f>INDEX([6]MZ!E17:BL17,1,5*T!$A$4-4)</f>
        <v>5</v>
      </c>
      <c r="J65" s="411">
        <f>INDEX([6]MZ!F17:BM17,1,5*T!$A$4-4)</f>
        <v>-1.9</v>
      </c>
    </row>
    <row r="66" spans="1:10" ht="12" customHeight="1" x14ac:dyDescent="0.2">
      <c r="A66" s="294"/>
      <c r="B66" s="270"/>
      <c r="C66" s="259"/>
      <c r="D66" s="420"/>
      <c r="E66" s="439"/>
      <c r="F66" s="399"/>
      <c r="G66" s="382"/>
      <c r="H66" s="427"/>
      <c r="I66" s="439"/>
      <c r="J66" s="396"/>
    </row>
    <row r="67" spans="1:10" ht="12" customHeight="1" x14ac:dyDescent="0.2">
      <c r="A67" s="982"/>
      <c r="B67" s="982"/>
      <c r="C67" s="982"/>
      <c r="D67" s="421"/>
      <c r="E67" s="358"/>
      <c r="F67" s="400"/>
      <c r="G67" s="322"/>
      <c r="H67" s="428"/>
      <c r="I67" s="440"/>
      <c r="J67" s="176"/>
    </row>
    <row r="68" spans="1:10" ht="12" customHeight="1" x14ac:dyDescent="0.2"/>
    <row r="69" spans="1:10" ht="12" customHeight="1" x14ac:dyDescent="0.2"/>
    <row r="70" spans="1:10" ht="12" customHeight="1" x14ac:dyDescent="0.2">
      <c r="A70" s="276"/>
      <c r="B70" s="276"/>
      <c r="C70" s="276"/>
      <c r="D70" s="276"/>
      <c r="E70" s="276"/>
      <c r="F70" s="276"/>
      <c r="G70" s="276"/>
      <c r="H70" s="276"/>
      <c r="I70" s="276"/>
      <c r="J70" s="276"/>
    </row>
    <row r="71" spans="1:10" ht="12" customHeight="1" x14ac:dyDescent="0.2">
      <c r="A71" s="276"/>
      <c r="B71" s="276"/>
      <c r="C71" s="276"/>
      <c r="D71" s="276"/>
      <c r="E71" s="276"/>
      <c r="F71" s="276"/>
      <c r="G71" s="276"/>
      <c r="H71" s="276"/>
      <c r="I71" s="276"/>
      <c r="J71" s="276"/>
    </row>
    <row r="72" spans="1:10" ht="12" customHeight="1" x14ac:dyDescent="0.2">
      <c r="A72" s="276"/>
      <c r="B72" s="276"/>
      <c r="C72" s="276"/>
      <c r="D72" s="276"/>
      <c r="E72" s="276"/>
      <c r="F72" s="276"/>
      <c r="G72" s="276"/>
      <c r="H72" s="276"/>
      <c r="I72" s="276"/>
      <c r="J72" s="276"/>
    </row>
    <row r="73" spans="1:10" ht="12" customHeight="1" x14ac:dyDescent="0.2">
      <c r="A73" s="276"/>
      <c r="B73" s="276"/>
      <c r="C73" s="276"/>
      <c r="D73" s="276"/>
      <c r="E73" s="276"/>
      <c r="F73" s="276"/>
      <c r="G73" s="276"/>
      <c r="H73" s="276"/>
      <c r="I73" s="276"/>
      <c r="J73" s="276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4">
    <mergeCell ref="A67:C67"/>
    <mergeCell ref="G45:G48"/>
    <mergeCell ref="D47:E47"/>
    <mergeCell ref="H47:I47"/>
    <mergeCell ref="A31:J31"/>
    <mergeCell ref="A50:B50"/>
    <mergeCell ref="D32:E32"/>
    <mergeCell ref="A10:B10"/>
    <mergeCell ref="A29:C29"/>
    <mergeCell ref="I1:J1"/>
    <mergeCell ref="A3:J3"/>
    <mergeCell ref="G6:G9"/>
    <mergeCell ref="D8:E8"/>
    <mergeCell ref="H8:I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002" t="s">
        <v>53</v>
      </c>
      <c r="P1" s="1002"/>
      <c r="R1" s="924"/>
      <c r="S1" s="178"/>
    </row>
    <row r="2" spans="1:19" s="3" customFormat="1" ht="15.75" x14ac:dyDescent="0.25">
      <c r="A2" s="1003" t="s">
        <v>188</v>
      </c>
      <c r="B2" s="1003"/>
      <c r="C2" s="1003"/>
      <c r="D2" s="1003"/>
      <c r="E2" s="1003"/>
      <c r="F2" s="1003"/>
      <c r="G2" s="1003"/>
      <c r="H2" s="1003"/>
      <c r="I2" s="1003"/>
      <c r="J2" s="1003"/>
      <c r="K2" s="1003"/>
      <c r="L2" s="1003"/>
      <c r="M2" s="1003"/>
      <c r="N2" s="1003"/>
      <c r="O2" s="1003"/>
      <c r="P2" s="1003"/>
      <c r="R2" s="924"/>
      <c r="S2" s="178"/>
    </row>
    <row r="3" spans="1:19" ht="15.75" customHeight="1" x14ac:dyDescent="0.25">
      <c r="A3" s="1019" t="str">
        <f>T!$G$19</f>
        <v>Únor</v>
      </c>
      <c r="B3" s="1020"/>
      <c r="C3" s="1020"/>
      <c r="D3" s="1020"/>
      <c r="E3" s="1020"/>
      <c r="F3" s="1020"/>
      <c r="G3" s="1020"/>
      <c r="H3" s="1020"/>
      <c r="I3" s="1017">
        <f>T!$I$21</f>
        <v>2015</v>
      </c>
      <c r="J3" s="1018"/>
      <c r="K3" s="1018"/>
      <c r="L3" s="1018"/>
      <c r="M3" s="1018"/>
      <c r="N3" s="1018"/>
      <c r="O3" s="1018"/>
      <c r="P3" s="1018"/>
      <c r="R3" s="924"/>
      <c r="S3" s="178"/>
    </row>
    <row r="4" spans="1:19" ht="13.5" customHeight="1" x14ac:dyDescent="0.25">
      <c r="A4" s="180"/>
      <c r="B4" s="180"/>
      <c r="C4" s="181"/>
      <c r="D4" s="182"/>
      <c r="E4" s="180"/>
      <c r="F4" s="137"/>
      <c r="G4" s="137"/>
      <c r="H4" s="137"/>
      <c r="I4" s="138"/>
      <c r="J4" s="138"/>
      <c r="K4" s="138"/>
      <c r="L4" s="138"/>
      <c r="M4" s="138"/>
      <c r="N4" s="138"/>
      <c r="O4" s="138"/>
      <c r="P4" s="138"/>
      <c r="R4" s="924"/>
      <c r="S4" s="178"/>
    </row>
    <row r="5" spans="1:19" ht="12" customHeight="1" x14ac:dyDescent="0.2">
      <c r="A5" s="1011"/>
      <c r="B5" s="1011"/>
      <c r="C5" s="1012" t="s">
        <v>94</v>
      </c>
      <c r="D5" s="1013"/>
      <c r="E5" s="1015" t="s">
        <v>95</v>
      </c>
      <c r="F5" s="7"/>
      <c r="G5" s="7"/>
      <c r="H5" s="92"/>
      <c r="I5" s="92"/>
      <c r="J5" s="92"/>
      <c r="K5" s="92"/>
      <c r="L5" s="92"/>
      <c r="M5" s="92"/>
      <c r="N5" s="92"/>
      <c r="O5" s="92"/>
      <c r="P5" s="92"/>
      <c r="R5" s="924"/>
      <c r="S5" s="178"/>
    </row>
    <row r="6" spans="1:19" ht="12" customHeight="1" x14ac:dyDescent="0.2">
      <c r="A6" s="7"/>
      <c r="B6" s="7"/>
      <c r="C6" s="1014"/>
      <c r="D6" s="1013"/>
      <c r="E6" s="1015"/>
      <c r="F6" s="7"/>
      <c r="G6" s="785"/>
      <c r="H6" s="785"/>
      <c r="I6" s="785"/>
      <c r="J6" s="785"/>
      <c r="K6" s="787">
        <v>0</v>
      </c>
      <c r="L6" s="786" t="s">
        <v>201</v>
      </c>
      <c r="M6" s="786"/>
      <c r="N6" s="927" t="e">
        <f>IF(ISNA(K37),NA(),IF(K37+1&lt;=CEILING($C$40/1000,1),K37+1,NA()))</f>
        <v>#N/A</v>
      </c>
      <c r="O6" s="786" t="s">
        <v>201</v>
      </c>
      <c r="P6" s="786"/>
      <c r="R6" s="924"/>
      <c r="S6" s="178"/>
    </row>
    <row r="7" spans="1:19" ht="13.5" customHeight="1" thickBot="1" x14ac:dyDescent="0.25">
      <c r="A7" s="1016" t="s">
        <v>81</v>
      </c>
      <c r="B7" s="1016"/>
      <c r="C7" s="109" t="s">
        <v>15</v>
      </c>
      <c r="D7" s="110" t="s">
        <v>1</v>
      </c>
      <c r="E7" s="111" t="s">
        <v>14</v>
      </c>
      <c r="F7" s="7"/>
      <c r="G7" s="785"/>
      <c r="H7" s="787"/>
      <c r="I7" s="786" t="s">
        <v>202</v>
      </c>
      <c r="J7" s="786" t="s">
        <v>52</v>
      </c>
      <c r="K7" s="925">
        <f>CEILING(C41/1000,1)</f>
        <v>30</v>
      </c>
      <c r="L7" s="788">
        <f t="shared" ref="L7:L21" si="0">COUNTIFS($I$8:$I$38,"&gt;"&amp;K6,$I$8:$I$38,"&lt;="&amp;K7,$I$8:$I$38,"&gt;=0")</f>
        <v>2</v>
      </c>
      <c r="M7" s="928"/>
      <c r="N7" s="927" t="e">
        <f>IF(ISNA(N6),NA(),IF(N6+1&lt;=CEILING($C$40/1000,1),N6+1,NA()))</f>
        <v>#N/A</v>
      </c>
      <c r="O7" s="788">
        <f t="shared" ref="O7:O38" si="1">COUNTIFS($I$8:$I$38,"&gt;"&amp;N6,$I$8:$I$38,"&lt;="&amp;N7,$I$8:$I$38,"&gt;=0")</f>
        <v>0</v>
      </c>
      <c r="P7" s="928"/>
      <c r="R7" s="924"/>
      <c r="S7" s="178"/>
    </row>
    <row r="8" spans="1:19" ht="12" customHeight="1" x14ac:dyDescent="0.2">
      <c r="A8" s="106">
        <f>IF(ROW(A8)-7&lt;=DAY(DATE($I$3,T!$A$4+1,1)-1),INDEX([7]ČR!A18:A383,DATE(2016,T!$A$4,1)-DATE(2016,1,1)+1,1),"")</f>
        <v>42036</v>
      </c>
      <c r="B8" s="784" t="str">
        <f>IF(ROW(A8)-7&lt;=DAY(DATE($I$3,T!$A$4+1,1)-1),INDEX([7]ČR!B18:B383,DATE(2016,T!$A$4,1)-DATE(2016,1,1)+1,1),"")</f>
        <v>neděle</v>
      </c>
      <c r="C8" s="103">
        <f>IF(ROW(A8)-7&lt;=DAY(DATE($I$3,T!$A$4+1,1)-1),INDEX([7]ČR!D18:D383,DATE(2016,T!$A$4,1)-DATE(2016,1,1)+1,1)/1000,"")</f>
        <v>34443.999782272935</v>
      </c>
      <c r="D8" s="107">
        <f>IF(ROW(A8)-7&lt;=DAY(DATE($I$3,T!$A$4+1,1)-1),INDEX([7]ČR!E18:E383,DATE(2016,T!$A$4,1)-DATE(2016,1,1)+1,1)/1000,"")</f>
        <v>366249.91878571425</v>
      </c>
      <c r="E8" s="108">
        <f>IF(ROW(A8)-7&lt;=DAY(DATE($I$3,T!$A$4+1,1)-1),INDEX([5]PT!AF16:AF381,DATE(2016,T!$A$4,1)-DATE(2016,1,1)+1,1),"")</f>
        <v>-1.4</v>
      </c>
      <c r="F8" s="7"/>
      <c r="G8" s="785"/>
      <c r="H8" s="925">
        <f>IF(ISNUMBER(A8),A8,NA())</f>
        <v>42036</v>
      </c>
      <c r="I8" s="789">
        <f>IF(ISNUMBER(A8),C8/1000,NA())</f>
        <v>34.443999782272932</v>
      </c>
      <c r="J8" s="790">
        <f>IF(ISNUMBER(A8),E8,NA())</f>
        <v>-1.4</v>
      </c>
      <c r="K8" s="927">
        <f>IF(ISNA(K7),NA(),IF(K7+1&lt;=CEILING($C$40/1000,1),K7+1,NA()))</f>
        <v>31</v>
      </c>
      <c r="L8" s="788">
        <f t="shared" si="0"/>
        <v>1</v>
      </c>
      <c r="M8" s="928"/>
      <c r="N8" s="927" t="e">
        <f t="shared" ref="N8:N38" si="2">IF(ISNA(N7),NA(),IF(N7+1&lt;=CEILING($C$40/1000,1),N7+1,NA()))</f>
        <v>#N/A</v>
      </c>
      <c r="O8" s="788">
        <f t="shared" si="1"/>
        <v>0</v>
      </c>
      <c r="P8" s="928"/>
      <c r="R8" s="924"/>
      <c r="S8" s="178"/>
    </row>
    <row r="9" spans="1:19" ht="12" customHeight="1" x14ac:dyDescent="0.2">
      <c r="A9" s="106">
        <f>IF(ROW(A9)-7&lt;=DAY(DATE($I$3,T!$A$4+1,1)-1),INDEX([7]ČR!A19:A384,DATE(2016,T!$A$4,1)-DATE(2016,1,1)+1,1),"")</f>
        <v>42037</v>
      </c>
      <c r="B9" s="784" t="str">
        <f>IF(ROW(A9)-7&lt;=DAY(DATE($I$3,T!$A$4+1,1)-1),INDEX([7]ČR!B19:B384,DATE(2016,T!$A$4,1)-DATE(2016,1,1)+1,1),"")</f>
        <v>pondělí</v>
      </c>
      <c r="C9" s="103">
        <f>IF(ROW(A9)-7&lt;=DAY(DATE($I$3,T!$A$4+1,1)-1),INDEX([7]ČR!D19:D384,DATE(2016,T!$A$4,1)-DATE(2016,1,1)+1,1)/1000,"")</f>
        <v>37810.03060216672</v>
      </c>
      <c r="D9" s="107">
        <f>IF(ROW(A9)-7&lt;=DAY(DATE($I$3,T!$A$4+1,1)-1),INDEX([7]ČR!E19:E384,DATE(2016,T!$A$4,1)-DATE(2016,1,1)+1,1)/1000,"")</f>
        <v>402027.0887857143</v>
      </c>
      <c r="E9" s="108">
        <f>IF(ROW(A9)-7&lt;=DAY(DATE($I$3,T!$A$4+1,1)-1),INDEX([5]PT!AF17:AF382,DATE(2016,T!$A$4,1)-DATE(2016,1,1)+1,1),"")</f>
        <v>-1.6</v>
      </c>
      <c r="F9" s="7"/>
      <c r="G9" s="785"/>
      <c r="H9" s="925">
        <f t="shared" ref="H9:H38" si="3">IF(ISNUMBER(A9),A9,NA())</f>
        <v>42037</v>
      </c>
      <c r="I9" s="789">
        <f t="shared" ref="I9:I38" si="4">IF(ISNUMBER(A9),C9/1000,NA())</f>
        <v>37.810030602166719</v>
      </c>
      <c r="J9" s="790">
        <f t="shared" ref="J9:J38" si="5">IF(ISNUMBER(A9),E9,NA())</f>
        <v>-1.6</v>
      </c>
      <c r="K9" s="927">
        <f t="shared" ref="K9:K38" si="6">IF(ISNA(K8),NA(),IF(K8+1&lt;=CEILING($C$40/1000,1),K8+1,NA()))</f>
        <v>32</v>
      </c>
      <c r="L9" s="788">
        <f t="shared" si="0"/>
        <v>1</v>
      </c>
      <c r="M9" s="928"/>
      <c r="N9" s="927" t="e">
        <f t="shared" si="2"/>
        <v>#N/A</v>
      </c>
      <c r="O9" s="788">
        <f t="shared" si="1"/>
        <v>0</v>
      </c>
      <c r="P9" s="928"/>
      <c r="R9" s="924"/>
      <c r="S9" s="178"/>
    </row>
    <row r="10" spans="1:19" ht="12" customHeight="1" x14ac:dyDescent="0.2">
      <c r="A10" s="106">
        <f>IF(ROW(A10)-7&lt;=DAY(DATE($I$3,T!$A$4+1,1)-1),INDEX([7]ČR!A20:A385,DATE(2016,T!$A$4,1)-DATE(2016,1,1)+1,1),"")</f>
        <v>42038</v>
      </c>
      <c r="B10" s="784" t="str">
        <f>IF(ROW(A10)-7&lt;=DAY(DATE($I$3,T!$A$4+1,1)-1),INDEX([7]ČR!B20:B385,DATE(2016,T!$A$4,1)-DATE(2016,1,1)+1,1),"")</f>
        <v>úterý</v>
      </c>
      <c r="C10" s="103">
        <f>IF(ROW(A10)-7&lt;=DAY(DATE($I$3,T!$A$4+1,1)-1),INDEX([7]ČR!D20:D385,DATE(2016,T!$A$4,1)-DATE(2016,1,1)+1,1)/1000,"")</f>
        <v>40079.616216670249</v>
      </c>
      <c r="D10" s="107">
        <f>IF(ROW(A10)-7&lt;=DAY(DATE($I$3,T!$A$4+1,1)-1),INDEX([7]ČR!E20:E385,DATE(2016,T!$A$4,1)-DATE(2016,1,1)+1,1)/1000,"")</f>
        <v>426143.52078571427</v>
      </c>
      <c r="E10" s="108">
        <f>IF(ROW(A10)-7&lt;=DAY(DATE($I$3,T!$A$4+1,1)-1),INDEX([5]PT!AF18:AF383,DATE(2016,T!$A$4,1)-DATE(2016,1,1)+1,1),"")</f>
        <v>-2.5</v>
      </c>
      <c r="F10" s="7"/>
      <c r="G10" s="785"/>
      <c r="H10" s="925">
        <f t="shared" si="3"/>
        <v>42038</v>
      </c>
      <c r="I10" s="789">
        <f t="shared" si="4"/>
        <v>40.079616216670246</v>
      </c>
      <c r="J10" s="790">
        <f t="shared" si="5"/>
        <v>-2.5</v>
      </c>
      <c r="K10" s="927">
        <f t="shared" si="6"/>
        <v>33</v>
      </c>
      <c r="L10" s="788">
        <f t="shared" si="0"/>
        <v>3</v>
      </c>
      <c r="M10" s="928"/>
      <c r="N10" s="927" t="e">
        <f t="shared" si="2"/>
        <v>#N/A</v>
      </c>
      <c r="O10" s="788">
        <f t="shared" si="1"/>
        <v>0</v>
      </c>
      <c r="P10" s="928"/>
      <c r="R10" s="924"/>
      <c r="S10" s="178"/>
    </row>
    <row r="11" spans="1:19" ht="12" customHeight="1" x14ac:dyDescent="0.2">
      <c r="A11" s="106">
        <f>IF(ROW(A11)-7&lt;=DAY(DATE($I$3,T!$A$4+1,1)-1),INDEX([7]ČR!A21:A386,DATE(2016,T!$A$4,1)-DATE(2016,1,1)+1,1),"")</f>
        <v>42039</v>
      </c>
      <c r="B11" s="784" t="str">
        <f>IF(ROW(A11)-7&lt;=DAY(DATE($I$3,T!$A$4+1,1)-1),INDEX([7]ČR!B21:B386,DATE(2016,T!$A$4,1)-DATE(2016,1,1)+1,1),"")</f>
        <v>středa</v>
      </c>
      <c r="C11" s="103">
        <f>IF(ROW(A11)-7&lt;=DAY(DATE($I$3,T!$A$4+1,1)-1),INDEX([7]ČR!D21:D386,DATE(2016,T!$A$4,1)-DATE(2016,1,1)+1,1)/1000,"")</f>
        <v>41461.490277269564</v>
      </c>
      <c r="D11" s="107">
        <f>IF(ROW(A11)-7&lt;=DAY(DATE($I$3,T!$A$4+1,1)-1),INDEX([7]ČR!E21:E386,DATE(2016,T!$A$4,1)-DATE(2016,1,1)+1,1)/1000,"")</f>
        <v>440833.33678571426</v>
      </c>
      <c r="E11" s="108">
        <f>IF(ROW(A11)-7&lt;=DAY(DATE($I$3,T!$A$4+1,1)-1),INDEX([5]PT!AF19:AF384,DATE(2016,T!$A$4,1)-DATE(2016,1,1)+1,1),"")</f>
        <v>-2.9</v>
      </c>
      <c r="F11" s="7"/>
      <c r="G11" s="785"/>
      <c r="H11" s="925">
        <f t="shared" si="3"/>
        <v>42039</v>
      </c>
      <c r="I11" s="789">
        <f t="shared" si="4"/>
        <v>41.461490277269561</v>
      </c>
      <c r="J11" s="790">
        <f t="shared" si="5"/>
        <v>-2.9</v>
      </c>
      <c r="K11" s="927">
        <f t="shared" si="6"/>
        <v>34</v>
      </c>
      <c r="L11" s="788">
        <f t="shared" si="0"/>
        <v>4</v>
      </c>
      <c r="M11" s="928"/>
      <c r="N11" s="927" t="e">
        <f t="shared" si="2"/>
        <v>#N/A</v>
      </c>
      <c r="O11" s="788">
        <f t="shared" si="1"/>
        <v>0</v>
      </c>
      <c r="P11" s="928"/>
      <c r="R11" s="924"/>
      <c r="S11" s="178"/>
    </row>
    <row r="12" spans="1:19" ht="12" customHeight="1" x14ac:dyDescent="0.2">
      <c r="A12" s="106">
        <f>IF(ROW(A12)-7&lt;=DAY(DATE($I$3,T!$A$4+1,1)-1),INDEX([7]ČR!A22:A387,DATE(2016,T!$A$4,1)-DATE(2016,1,1)+1,1),"")</f>
        <v>42040</v>
      </c>
      <c r="B12" s="784" t="str">
        <f>IF(ROW(A12)-7&lt;=DAY(DATE($I$3,T!$A$4+1,1)-1),INDEX([7]ČR!B22:B387,DATE(2016,T!$A$4,1)-DATE(2016,1,1)+1,1),"")</f>
        <v>čtvrtek</v>
      </c>
      <c r="C12" s="103">
        <f>IF(ROW(A12)-7&lt;=DAY(DATE($I$3,T!$A$4+1,1)-1),INDEX([7]ČR!D22:D387,DATE(2016,T!$A$4,1)-DATE(2016,1,1)+1,1)/1000,"")</f>
        <v>42621.557004484406</v>
      </c>
      <c r="D12" s="107">
        <f>IF(ROW(A12)-7&lt;=DAY(DATE($I$3,T!$A$4+1,1)-1),INDEX([7]ČR!E22:E387,DATE(2016,T!$A$4,1)-DATE(2016,1,1)+1,1)/1000,"")</f>
        <v>453141.77378571429</v>
      </c>
      <c r="E12" s="108">
        <f>IF(ROW(A12)-7&lt;=DAY(DATE($I$3,T!$A$4+1,1)-1),INDEX([5]PT!AF20:AF385,DATE(2016,T!$A$4,1)-DATE(2016,1,1)+1,1),"")</f>
        <v>-3.4</v>
      </c>
      <c r="F12" s="7"/>
      <c r="G12" s="785"/>
      <c r="H12" s="925">
        <f t="shared" si="3"/>
        <v>42040</v>
      </c>
      <c r="I12" s="789">
        <f t="shared" si="4"/>
        <v>42.621557004484409</v>
      </c>
      <c r="J12" s="790">
        <f t="shared" si="5"/>
        <v>-3.4</v>
      </c>
      <c r="K12" s="927">
        <f t="shared" si="6"/>
        <v>35</v>
      </c>
      <c r="L12" s="788">
        <f t="shared" si="0"/>
        <v>1</v>
      </c>
      <c r="M12" s="928"/>
      <c r="N12" s="927" t="e">
        <f t="shared" si="2"/>
        <v>#N/A</v>
      </c>
      <c r="O12" s="788">
        <f t="shared" si="1"/>
        <v>0</v>
      </c>
      <c r="P12" s="928"/>
      <c r="R12" s="924"/>
      <c r="S12" s="178"/>
    </row>
    <row r="13" spans="1:19" ht="12" customHeight="1" x14ac:dyDescent="0.2">
      <c r="A13" s="106">
        <f>IF(ROW(A13)-7&lt;=DAY(DATE($I$3,T!$A$4+1,1)-1),INDEX([7]ČR!A23:A388,DATE(2016,T!$A$4,1)-DATE(2016,1,1)+1,1),"")</f>
        <v>42041</v>
      </c>
      <c r="B13" s="784" t="str">
        <f>IF(ROW(A13)-7&lt;=DAY(DATE($I$3,T!$A$4+1,1)-1),INDEX([7]ČR!B23:B388,DATE(2016,T!$A$4,1)-DATE(2016,1,1)+1,1),"")</f>
        <v>pátek</v>
      </c>
      <c r="C13" s="103">
        <f>IF(ROW(A13)-7&lt;=DAY(DATE($I$3,T!$A$4+1,1)-1),INDEX([7]ČR!D23:D388,DATE(2016,T!$A$4,1)-DATE(2016,1,1)+1,1)/1000,"")</f>
        <v>41002.694837526164</v>
      </c>
      <c r="D13" s="107">
        <f>IF(ROW(A13)-7&lt;=DAY(DATE($I$3,T!$A$4+1,1)-1),INDEX([7]ČR!E23:E388,DATE(2016,T!$A$4,1)-DATE(2016,1,1)+1,1)/1000,"")</f>
        <v>435971.09178571426</v>
      </c>
      <c r="E13" s="108">
        <f>IF(ROW(A13)-7&lt;=DAY(DATE($I$3,T!$A$4+1,1)-1),INDEX([5]PT!AF21:AF386,DATE(2016,T!$A$4,1)-DATE(2016,1,1)+1,1),"")</f>
        <v>-3.9</v>
      </c>
      <c r="F13" s="7"/>
      <c r="G13" s="785"/>
      <c r="H13" s="925">
        <f t="shared" si="3"/>
        <v>42041</v>
      </c>
      <c r="I13" s="789">
        <f t="shared" si="4"/>
        <v>41.002694837526164</v>
      </c>
      <c r="J13" s="790">
        <f t="shared" si="5"/>
        <v>-3.9</v>
      </c>
      <c r="K13" s="927">
        <f t="shared" si="6"/>
        <v>36</v>
      </c>
      <c r="L13" s="788">
        <f t="shared" si="0"/>
        <v>5</v>
      </c>
      <c r="M13" s="928"/>
      <c r="N13" s="927" t="e">
        <f t="shared" si="2"/>
        <v>#N/A</v>
      </c>
      <c r="O13" s="788">
        <f t="shared" si="1"/>
        <v>0</v>
      </c>
      <c r="P13" s="928"/>
      <c r="R13" s="924"/>
      <c r="S13" s="178"/>
    </row>
    <row r="14" spans="1:19" ht="12" customHeight="1" x14ac:dyDescent="0.2">
      <c r="A14" s="106">
        <f>IF(ROW(A14)-7&lt;=DAY(DATE($I$3,T!$A$4+1,1)-1),INDEX([7]ČR!A24:A389,DATE(2016,T!$A$4,1)-DATE(2016,1,1)+1,1),"")</f>
        <v>42042</v>
      </c>
      <c r="B14" s="784" t="str">
        <f>IF(ROW(A14)-7&lt;=DAY(DATE($I$3,T!$A$4+1,1)-1),INDEX([7]ČR!B24:B389,DATE(2016,T!$A$4,1)-DATE(2016,1,1)+1,1),"")</f>
        <v>sobota</v>
      </c>
      <c r="C14" s="103">
        <f>IF(ROW(A14)-7&lt;=DAY(DATE($I$3,T!$A$4+1,1)-1),INDEX([7]ČR!D24:D389,DATE(2016,T!$A$4,1)-DATE(2016,1,1)+1,1)/1000,"")</f>
        <v>36310.293564588683</v>
      </c>
      <c r="D14" s="107">
        <f>IF(ROW(A14)-7&lt;=DAY(DATE($I$3,T!$A$4+1,1)-1),INDEX([7]ČR!E24:E389,DATE(2016,T!$A$4,1)-DATE(2016,1,1)+1,1)/1000,"")</f>
        <v>386088.49778571428</v>
      </c>
      <c r="E14" s="108">
        <f>IF(ROW(A14)-7&lt;=DAY(DATE($I$3,T!$A$4+1,1)-1),INDEX([5]PT!AF22:AF387,DATE(2016,T!$A$4,1)-DATE(2016,1,1)+1,1),"")</f>
        <v>-3.7</v>
      </c>
      <c r="F14" s="7"/>
      <c r="G14" s="785"/>
      <c r="H14" s="925">
        <f t="shared" si="3"/>
        <v>42042</v>
      </c>
      <c r="I14" s="789">
        <f t="shared" si="4"/>
        <v>36.310293564588683</v>
      </c>
      <c r="J14" s="790">
        <f t="shared" si="5"/>
        <v>-3.7</v>
      </c>
      <c r="K14" s="927">
        <f t="shared" si="6"/>
        <v>37</v>
      </c>
      <c r="L14" s="788">
        <f t="shared" si="0"/>
        <v>4</v>
      </c>
      <c r="M14" s="928"/>
      <c r="N14" s="927" t="e">
        <f t="shared" si="2"/>
        <v>#N/A</v>
      </c>
      <c r="O14" s="788">
        <f t="shared" si="1"/>
        <v>0</v>
      </c>
      <c r="P14" s="928"/>
      <c r="R14" s="924"/>
      <c r="S14" s="178"/>
    </row>
    <row r="15" spans="1:19" ht="12" customHeight="1" x14ac:dyDescent="0.2">
      <c r="A15" s="106">
        <f>IF(ROW(A15)-7&lt;=DAY(DATE($I$3,T!$A$4+1,1)-1),INDEX([7]ČR!A25:A390,DATE(2016,T!$A$4,1)-DATE(2016,1,1)+1,1),"")</f>
        <v>42043</v>
      </c>
      <c r="B15" s="784" t="str">
        <f>IF(ROW(A15)-7&lt;=DAY(DATE($I$3,T!$A$4+1,1)-1),INDEX([7]ČR!B25:B390,DATE(2016,T!$A$4,1)-DATE(2016,1,1)+1,1),"")</f>
        <v>neděle</v>
      </c>
      <c r="C15" s="103">
        <f>IF(ROW(A15)-7&lt;=DAY(DATE($I$3,T!$A$4+1,1)-1),INDEX([7]ČR!D25:D390,DATE(2016,T!$A$4,1)-DATE(2016,1,1)+1,1)/1000,"")</f>
        <v>37694.738891570494</v>
      </c>
      <c r="D15" s="107">
        <f>IF(ROW(A15)-7&lt;=DAY(DATE($I$3,T!$A$4+1,1)-1),INDEX([7]ČR!E25:E390,DATE(2016,T!$A$4,1)-DATE(2016,1,1)+1,1)/1000,"")</f>
        <v>400804.02978571429</v>
      </c>
      <c r="E15" s="108">
        <f>IF(ROW(A15)-7&lt;=DAY(DATE($I$3,T!$A$4+1,1)-1),INDEX([5]PT!AF23:AF388,DATE(2016,T!$A$4,1)-DATE(2016,1,1)+1,1),"")</f>
        <v>-2.2999999999999998</v>
      </c>
      <c r="F15" s="7"/>
      <c r="G15" s="785"/>
      <c r="H15" s="925">
        <f t="shared" si="3"/>
        <v>42043</v>
      </c>
      <c r="I15" s="789">
        <f t="shared" si="4"/>
        <v>37.694738891570495</v>
      </c>
      <c r="J15" s="790">
        <f t="shared" si="5"/>
        <v>-2.2999999999999998</v>
      </c>
      <c r="K15" s="927">
        <f t="shared" si="6"/>
        <v>38</v>
      </c>
      <c r="L15" s="788">
        <f t="shared" si="0"/>
        <v>2</v>
      </c>
      <c r="M15" s="928"/>
      <c r="N15" s="927" t="e">
        <f t="shared" si="2"/>
        <v>#N/A</v>
      </c>
      <c r="O15" s="788">
        <f t="shared" si="1"/>
        <v>0</v>
      </c>
      <c r="P15" s="928"/>
      <c r="R15" s="924"/>
      <c r="S15" s="178"/>
    </row>
    <row r="16" spans="1:19" ht="12" customHeight="1" x14ac:dyDescent="0.2">
      <c r="A16" s="106">
        <f>IF(ROW(A16)-7&lt;=DAY(DATE($I$3,T!$A$4+1,1)-1),INDEX([7]ČR!A26:A391,DATE(2016,T!$A$4,1)-DATE(2016,1,1)+1,1),"")</f>
        <v>42044</v>
      </c>
      <c r="B16" s="784" t="str">
        <f>IF(ROW(A16)-7&lt;=DAY(DATE($I$3,T!$A$4+1,1)-1),INDEX([7]ČR!B26:B391,DATE(2016,T!$A$4,1)-DATE(2016,1,1)+1,1),"")</f>
        <v>pondělí</v>
      </c>
      <c r="C16" s="103">
        <f>IF(ROW(A16)-7&lt;=DAY(DATE($I$3,T!$A$4+1,1)-1),INDEX([7]ČR!D26:D391,DATE(2016,T!$A$4,1)-DATE(2016,1,1)+1,1)/1000,"")</f>
        <v>39125.366627788033</v>
      </c>
      <c r="D16" s="107">
        <f>IF(ROW(A16)-7&lt;=DAY(DATE($I$3,T!$A$4+1,1)-1),INDEX([7]ČR!E26:E391,DATE(2016,T!$A$4,1)-DATE(2016,1,1)+1,1)/1000,"")</f>
        <v>416018.79178571427</v>
      </c>
      <c r="E16" s="108">
        <f>IF(ROW(A16)-7&lt;=DAY(DATE($I$3,T!$A$4+1,1)-1),INDEX([5]PT!AF24:AF389,DATE(2016,T!$A$4,1)-DATE(2016,1,1)+1,1),"")</f>
        <v>0.4</v>
      </c>
      <c r="F16" s="7"/>
      <c r="G16" s="785"/>
      <c r="H16" s="925">
        <f t="shared" si="3"/>
        <v>42044</v>
      </c>
      <c r="I16" s="789">
        <f t="shared" si="4"/>
        <v>39.125366627788033</v>
      </c>
      <c r="J16" s="790">
        <f t="shared" si="5"/>
        <v>0.4</v>
      </c>
      <c r="K16" s="927">
        <f t="shared" si="6"/>
        <v>39</v>
      </c>
      <c r="L16" s="788">
        <f t="shared" si="0"/>
        <v>0</v>
      </c>
      <c r="M16" s="928"/>
      <c r="N16" s="927" t="e">
        <f t="shared" si="2"/>
        <v>#N/A</v>
      </c>
      <c r="O16" s="788">
        <f t="shared" si="1"/>
        <v>0</v>
      </c>
      <c r="P16" s="928"/>
      <c r="R16" s="924"/>
      <c r="S16" s="178"/>
    </row>
    <row r="17" spans="1:19" ht="12" customHeight="1" x14ac:dyDescent="0.2">
      <c r="A17" s="106">
        <f>IF(ROW(A17)-7&lt;=DAY(DATE($I$3,T!$A$4+1,1)-1),INDEX([7]ČR!A27:A392,DATE(2016,T!$A$4,1)-DATE(2016,1,1)+1,1),"")</f>
        <v>42045</v>
      </c>
      <c r="B17" s="784" t="str">
        <f>IF(ROW(A17)-7&lt;=DAY(DATE($I$3,T!$A$4+1,1)-1),INDEX([7]ČR!B27:B392,DATE(2016,T!$A$4,1)-DATE(2016,1,1)+1,1),"")</f>
        <v>úterý</v>
      </c>
      <c r="C17" s="103">
        <f>IF(ROW(A17)-7&lt;=DAY(DATE($I$3,T!$A$4+1,1)-1),INDEX([7]ČR!D27:D392,DATE(2016,T!$A$4,1)-DATE(2016,1,1)+1,1)/1000,"")</f>
        <v>35860.134716284338</v>
      </c>
      <c r="D17" s="107">
        <f>IF(ROW(A17)-7&lt;=DAY(DATE($I$3,T!$A$4+1,1)-1),INDEX([7]ČR!E27:E392,DATE(2016,T!$A$4,1)-DATE(2016,1,1)+1,1)/1000,"")</f>
        <v>381311.5777857143</v>
      </c>
      <c r="E17" s="108">
        <f>IF(ROW(A17)-7&lt;=DAY(DATE($I$3,T!$A$4+1,1)-1),INDEX([5]PT!AF25:AF390,DATE(2016,T!$A$4,1)-DATE(2016,1,1)+1,1),"")</f>
        <v>2.4</v>
      </c>
      <c r="F17" s="7"/>
      <c r="G17" s="785"/>
      <c r="H17" s="925">
        <f t="shared" si="3"/>
        <v>42045</v>
      </c>
      <c r="I17" s="789">
        <f t="shared" si="4"/>
        <v>35.860134716284335</v>
      </c>
      <c r="J17" s="790">
        <f t="shared" si="5"/>
        <v>2.4</v>
      </c>
      <c r="K17" s="927">
        <f t="shared" si="6"/>
        <v>40</v>
      </c>
      <c r="L17" s="788">
        <f t="shared" si="0"/>
        <v>1</v>
      </c>
      <c r="M17" s="928"/>
      <c r="N17" s="927" t="e">
        <f t="shared" si="2"/>
        <v>#N/A</v>
      </c>
      <c r="O17" s="788">
        <f t="shared" si="1"/>
        <v>0</v>
      </c>
      <c r="P17" s="928"/>
      <c r="R17" s="924"/>
      <c r="S17" s="178"/>
    </row>
    <row r="18" spans="1:19" ht="12" customHeight="1" x14ac:dyDescent="0.2">
      <c r="A18" s="106">
        <f>IF(ROW(A18)-7&lt;=DAY(DATE($I$3,T!$A$4+1,1)-1),INDEX([7]ČR!A28:A393,DATE(2016,T!$A$4,1)-DATE(2016,1,1)+1,1),"")</f>
        <v>42046</v>
      </c>
      <c r="B18" s="784" t="str">
        <f>IF(ROW(A18)-7&lt;=DAY(DATE($I$3,T!$A$4+1,1)-1),INDEX([7]ČR!B28:B393,DATE(2016,T!$A$4,1)-DATE(2016,1,1)+1,1),"")</f>
        <v>středa</v>
      </c>
      <c r="C18" s="103">
        <f>IF(ROW(A18)-7&lt;=DAY(DATE($I$3,T!$A$4+1,1)-1),INDEX([7]ČR!D28:D393,DATE(2016,T!$A$4,1)-DATE(2016,1,1)+1,1)/1000,"")</f>
        <v>35500.375108909473</v>
      </c>
      <c r="D18" s="107">
        <f>IF(ROW(A18)-7&lt;=DAY(DATE($I$3,T!$A$4+1,1)-1),INDEX([7]ČR!E28:E393,DATE(2016,T!$A$4,1)-DATE(2016,1,1)+1,1)/1000,"")</f>
        <v>377488.60978571424</v>
      </c>
      <c r="E18" s="108">
        <f>IF(ROW(A18)-7&lt;=DAY(DATE($I$3,T!$A$4+1,1)-1),INDEX([5]PT!AF26:AF391,DATE(2016,T!$A$4,1)-DATE(2016,1,1)+1,1),"")</f>
        <v>0.8</v>
      </c>
      <c r="F18" s="7"/>
      <c r="G18" s="785"/>
      <c r="H18" s="925">
        <f t="shared" si="3"/>
        <v>42046</v>
      </c>
      <c r="I18" s="789">
        <f t="shared" si="4"/>
        <v>35.500375108909473</v>
      </c>
      <c r="J18" s="790">
        <f t="shared" si="5"/>
        <v>0.8</v>
      </c>
      <c r="K18" s="927">
        <f t="shared" si="6"/>
        <v>41</v>
      </c>
      <c r="L18" s="788">
        <f t="shared" si="0"/>
        <v>1</v>
      </c>
      <c r="M18" s="928"/>
      <c r="N18" s="927" t="e">
        <f t="shared" si="2"/>
        <v>#N/A</v>
      </c>
      <c r="O18" s="788">
        <f t="shared" si="1"/>
        <v>0</v>
      </c>
      <c r="P18" s="928"/>
      <c r="R18" s="924"/>
      <c r="S18" s="178"/>
    </row>
    <row r="19" spans="1:19" ht="12" customHeight="1" x14ac:dyDescent="0.2">
      <c r="A19" s="106">
        <f>IF(ROW(A19)-7&lt;=DAY(DATE($I$3,T!$A$4+1,1)-1),INDEX([7]ČR!A29:A394,DATE(2016,T!$A$4,1)-DATE(2016,1,1)+1,1),"")</f>
        <v>42047</v>
      </c>
      <c r="B19" s="784" t="str">
        <f>IF(ROW(A19)-7&lt;=DAY(DATE($I$3,T!$A$4+1,1)-1),INDEX([7]ČR!B29:B394,DATE(2016,T!$A$4,1)-DATE(2016,1,1)+1,1),"")</f>
        <v>čtvrtek</v>
      </c>
      <c r="C19" s="103">
        <f>IF(ROW(A19)-7&lt;=DAY(DATE($I$3,T!$A$4+1,1)-1),INDEX([7]ČR!D29:D394,DATE(2016,T!$A$4,1)-DATE(2016,1,1)+1,1)/1000,"")</f>
        <v>35942.831266863279</v>
      </c>
      <c r="D19" s="107">
        <f>IF(ROW(A19)-7&lt;=DAY(DATE($I$3,T!$A$4+1,1)-1),INDEX([7]ČR!E29:E394,DATE(2016,T!$A$4,1)-DATE(2016,1,1)+1,1)/1000,"")</f>
        <v>382188.67878571426</v>
      </c>
      <c r="E19" s="108">
        <f>IF(ROW(A19)-7&lt;=DAY(DATE($I$3,T!$A$4+1,1)-1),INDEX([5]PT!AF27:AF392,DATE(2016,T!$A$4,1)-DATE(2016,1,1)+1,1),"")</f>
        <v>0.6</v>
      </c>
      <c r="F19" s="7"/>
      <c r="G19" s="785"/>
      <c r="H19" s="925">
        <f t="shared" si="3"/>
        <v>42047</v>
      </c>
      <c r="I19" s="789">
        <f t="shared" si="4"/>
        <v>35.94283126686328</v>
      </c>
      <c r="J19" s="790">
        <f t="shared" si="5"/>
        <v>0.6</v>
      </c>
      <c r="K19" s="927">
        <f t="shared" si="6"/>
        <v>42</v>
      </c>
      <c r="L19" s="788">
        <f t="shared" si="0"/>
        <v>2</v>
      </c>
      <c r="M19" s="928"/>
      <c r="N19" s="927" t="e">
        <f t="shared" si="2"/>
        <v>#N/A</v>
      </c>
      <c r="O19" s="788">
        <f t="shared" si="1"/>
        <v>0</v>
      </c>
      <c r="P19" s="928"/>
      <c r="R19" s="924"/>
      <c r="S19" s="178"/>
    </row>
    <row r="20" spans="1:19" ht="12" customHeight="1" x14ac:dyDescent="0.2">
      <c r="A20" s="106">
        <f>IF(ROW(A20)-7&lt;=DAY(DATE($I$3,T!$A$4+1,1)-1),INDEX([7]ČR!A30:A395,DATE(2016,T!$A$4,1)-DATE(2016,1,1)+1,1),"")</f>
        <v>42048</v>
      </c>
      <c r="B20" s="784" t="str">
        <f>IF(ROW(A20)-7&lt;=DAY(DATE($I$3,T!$A$4+1,1)-1),INDEX([7]ČR!B30:B395,DATE(2016,T!$A$4,1)-DATE(2016,1,1)+1,1),"")</f>
        <v>pátek</v>
      </c>
      <c r="C20" s="103">
        <f>IF(ROW(A20)-7&lt;=DAY(DATE($I$3,T!$A$4+1,1)-1),INDEX([7]ČR!D30:D395,DATE(2016,T!$A$4,1)-DATE(2016,1,1)+1,1)/1000,"")</f>
        <v>35457.735692935166</v>
      </c>
      <c r="D20" s="107">
        <f>IF(ROW(A20)-7&lt;=DAY(DATE($I$3,T!$A$4+1,1)-1),INDEX([7]ČR!E30:E395,DATE(2016,T!$A$4,1)-DATE(2016,1,1)+1,1)/1000,"")</f>
        <v>377032.15978571429</v>
      </c>
      <c r="E20" s="108">
        <f>IF(ROW(A20)-7&lt;=DAY(DATE($I$3,T!$A$4+1,1)-1),INDEX([5]PT!AF28:AF393,DATE(2016,T!$A$4,1)-DATE(2016,1,1)+1,1),"")</f>
        <v>-0.1</v>
      </c>
      <c r="F20" s="7"/>
      <c r="G20" s="785"/>
      <c r="H20" s="925">
        <f t="shared" si="3"/>
        <v>42048</v>
      </c>
      <c r="I20" s="789">
        <f t="shared" si="4"/>
        <v>35.457735692935167</v>
      </c>
      <c r="J20" s="790">
        <f t="shared" si="5"/>
        <v>-0.1</v>
      </c>
      <c r="K20" s="927">
        <f t="shared" si="6"/>
        <v>43</v>
      </c>
      <c r="L20" s="788">
        <f t="shared" si="0"/>
        <v>1</v>
      </c>
      <c r="M20" s="928"/>
      <c r="N20" s="927" t="e">
        <f t="shared" si="2"/>
        <v>#N/A</v>
      </c>
      <c r="O20" s="788">
        <f t="shared" si="1"/>
        <v>0</v>
      </c>
      <c r="P20" s="928"/>
      <c r="R20" s="924"/>
      <c r="S20" s="178"/>
    </row>
    <row r="21" spans="1:19" ht="12" customHeight="1" x14ac:dyDescent="0.2">
      <c r="A21" s="106">
        <f>IF(ROW(A21)-7&lt;=DAY(DATE($I$3,T!$A$4+1,1)-1),INDEX([7]ČR!A31:A396,DATE(2016,T!$A$4,1)-DATE(2016,1,1)+1,1),"")</f>
        <v>42049</v>
      </c>
      <c r="B21" s="784" t="str">
        <f>IF(ROW(A21)-7&lt;=DAY(DATE($I$3,T!$A$4+1,1)-1),INDEX([7]ČR!B31:B396,DATE(2016,T!$A$4,1)-DATE(2016,1,1)+1,1),"")</f>
        <v>sobota</v>
      </c>
      <c r="C21" s="103">
        <f>IF(ROW(A21)-7&lt;=DAY(DATE($I$3,T!$A$4+1,1)-1),INDEX([7]ČR!D31:D396,DATE(2016,T!$A$4,1)-DATE(2016,1,1)+1,1)/1000,"")</f>
        <v>32324.610744168556</v>
      </c>
      <c r="D21" s="107">
        <f>IF(ROW(A21)-7&lt;=DAY(DATE($I$3,T!$A$4+1,1)-1),INDEX([7]ČR!E31:E396,DATE(2016,T!$A$4,1)-DATE(2016,1,1)+1,1)/1000,"")</f>
        <v>343719.38578571426</v>
      </c>
      <c r="E21" s="108">
        <f>IF(ROW(A21)-7&lt;=DAY(DATE($I$3,T!$A$4+1,1)-1),INDEX([5]PT!AF29:AF394,DATE(2016,T!$A$4,1)-DATE(2016,1,1)+1,1),"")</f>
        <v>0.7</v>
      </c>
      <c r="F21" s="7"/>
      <c r="G21" s="785"/>
      <c r="H21" s="925">
        <f t="shared" si="3"/>
        <v>42049</v>
      </c>
      <c r="I21" s="789">
        <f t="shared" si="4"/>
        <v>32.32461074416856</v>
      </c>
      <c r="J21" s="790">
        <f t="shared" si="5"/>
        <v>0.7</v>
      </c>
      <c r="K21" s="927" t="e">
        <f t="shared" si="6"/>
        <v>#N/A</v>
      </c>
      <c r="L21" s="788">
        <f t="shared" si="0"/>
        <v>0</v>
      </c>
      <c r="M21" s="928"/>
      <c r="N21" s="927" t="e">
        <f t="shared" si="2"/>
        <v>#N/A</v>
      </c>
      <c r="O21" s="788">
        <f t="shared" si="1"/>
        <v>0</v>
      </c>
      <c r="P21" s="928"/>
      <c r="R21" s="924"/>
      <c r="S21" s="178"/>
    </row>
    <row r="22" spans="1:19" ht="12" customHeight="1" x14ac:dyDescent="0.2">
      <c r="A22" s="106">
        <f>IF(ROW(A22)-7&lt;=DAY(DATE($I$3,T!$A$4+1,1)-1),INDEX([7]ČR!A32:A397,DATE(2016,T!$A$4,1)-DATE(2016,1,1)+1,1),"")</f>
        <v>42050</v>
      </c>
      <c r="B22" s="784" t="str">
        <f>IF(ROW(A22)-7&lt;=DAY(DATE($I$3,T!$A$4+1,1)-1),INDEX([7]ČR!B32:B397,DATE(2016,T!$A$4,1)-DATE(2016,1,1)+1,1),"")</f>
        <v>neděle</v>
      </c>
      <c r="C22" s="103">
        <f>IF(ROW(A22)-7&lt;=DAY(DATE($I$3,T!$A$4+1,1)-1),INDEX([7]ČR!D32:D397,DATE(2016,T!$A$4,1)-DATE(2016,1,1)+1,1)/1000,"")</f>
        <v>31653.059206051872</v>
      </c>
      <c r="D22" s="107">
        <f>IF(ROW(A22)-7&lt;=DAY(DATE($I$3,T!$A$4+1,1)-1),INDEX([7]ČR!E32:E397,DATE(2016,T!$A$4,1)-DATE(2016,1,1)+1,1)/1000,"")</f>
        <v>336583.09078571427</v>
      </c>
      <c r="E22" s="108">
        <f>IF(ROW(A22)-7&lt;=DAY(DATE($I$3,T!$A$4+1,1)-1),INDEX([5]PT!AF30:AF395,DATE(2016,T!$A$4,1)-DATE(2016,1,1)+1,1),"")</f>
        <v>2.2999999999999998</v>
      </c>
      <c r="F22" s="7"/>
      <c r="G22" s="785"/>
      <c r="H22" s="925">
        <f t="shared" si="3"/>
        <v>42050</v>
      </c>
      <c r="I22" s="789">
        <f t="shared" si="4"/>
        <v>31.653059206051871</v>
      </c>
      <c r="J22" s="790">
        <f t="shared" si="5"/>
        <v>2.2999999999999998</v>
      </c>
      <c r="K22" s="927" t="e">
        <f t="shared" si="6"/>
        <v>#N/A</v>
      </c>
      <c r="L22" s="788">
        <f>COUNTIFS($I$8:$I$38,"&gt;"&amp;K21,$I$8:$I$38,"&lt;="&amp;K22,$I$8:$I$38,"&gt;=0")</f>
        <v>0</v>
      </c>
      <c r="M22" s="928"/>
      <c r="N22" s="927" t="e">
        <f t="shared" si="2"/>
        <v>#N/A</v>
      </c>
      <c r="O22" s="788">
        <f t="shared" si="1"/>
        <v>0</v>
      </c>
      <c r="P22" s="928"/>
      <c r="R22" s="924"/>
      <c r="S22" s="178"/>
    </row>
    <row r="23" spans="1:19" ht="12" customHeight="1" x14ac:dyDescent="0.2">
      <c r="A23" s="106">
        <f>IF(ROW(A23)-7&lt;=DAY(DATE($I$3,T!$A$4+1,1)-1),INDEX([7]ČR!A33:A398,DATE(2016,T!$A$4,1)-DATE(2016,1,1)+1,1),"")</f>
        <v>42051</v>
      </c>
      <c r="B23" s="784" t="str">
        <f>IF(ROW(A23)-7&lt;=DAY(DATE($I$3,T!$A$4+1,1)-1),INDEX([7]ČR!B33:B398,DATE(2016,T!$A$4,1)-DATE(2016,1,1)+1,1),"")</f>
        <v>pondělí</v>
      </c>
      <c r="C23" s="103">
        <f>IF(ROW(A23)-7&lt;=DAY(DATE($I$3,T!$A$4+1,1)-1),INDEX([7]ČR!D33:D398,DATE(2016,T!$A$4,1)-DATE(2016,1,1)+1,1)/1000,"")</f>
        <v>35010.214404985818</v>
      </c>
      <c r="D23" s="107">
        <f>IF(ROW(A23)-7&lt;=DAY(DATE($I$3,T!$A$4+1,1)-1),INDEX([7]ČR!E33:E398,DATE(2016,T!$A$4,1)-DATE(2016,1,1)+1,1)/1000,"")</f>
        <v>372270.94978571427</v>
      </c>
      <c r="E23" s="108">
        <f>IF(ROW(A23)-7&lt;=DAY(DATE($I$3,T!$A$4+1,1)-1),INDEX([5]PT!AF31:AF396,DATE(2016,T!$A$4,1)-DATE(2016,1,1)+1,1),"")</f>
        <v>0.8</v>
      </c>
      <c r="F23" s="7"/>
      <c r="G23" s="785"/>
      <c r="H23" s="925">
        <f t="shared" si="3"/>
        <v>42051</v>
      </c>
      <c r="I23" s="789">
        <f t="shared" si="4"/>
        <v>35.010214404985817</v>
      </c>
      <c r="J23" s="790">
        <f t="shared" si="5"/>
        <v>0.8</v>
      </c>
      <c r="K23" s="927" t="e">
        <f t="shared" si="6"/>
        <v>#N/A</v>
      </c>
      <c r="L23" s="788">
        <f t="shared" ref="L23:L38" si="7">COUNTIFS($I$8:$I$38,"&gt;"&amp;K22,$I$8:$I$38,"&lt;="&amp;K23,$I$8:$I$38,"&gt;=0")</f>
        <v>0</v>
      </c>
      <c r="M23" s="928"/>
      <c r="N23" s="927" t="e">
        <f t="shared" si="2"/>
        <v>#N/A</v>
      </c>
      <c r="O23" s="788">
        <f t="shared" si="1"/>
        <v>0</v>
      </c>
      <c r="P23" s="928"/>
      <c r="R23" s="924"/>
      <c r="S23" s="178"/>
    </row>
    <row r="24" spans="1:19" ht="12" customHeight="1" x14ac:dyDescent="0.2">
      <c r="A24" s="106">
        <f>IF(ROW(A24)-7&lt;=DAY(DATE($I$3,T!$A$4+1,1)-1),INDEX([7]ČR!A34:A399,DATE(2016,T!$A$4,1)-DATE(2016,1,1)+1,1),"")</f>
        <v>42052</v>
      </c>
      <c r="B24" s="784" t="str">
        <f>IF(ROW(A24)-7&lt;=DAY(DATE($I$3,T!$A$4+1,1)-1),INDEX([7]ČR!B34:B399,DATE(2016,T!$A$4,1)-DATE(2016,1,1)+1,1),"")</f>
        <v>úterý</v>
      </c>
      <c r="C24" s="103">
        <f>IF(ROW(A24)-7&lt;=DAY(DATE($I$3,T!$A$4+1,1)-1),INDEX([7]ČR!D34:D399,DATE(2016,T!$A$4,1)-DATE(2016,1,1)+1,1)/1000,"")</f>
        <v>36273.824338291488</v>
      </c>
      <c r="D24" s="107">
        <f>IF(ROW(A24)-7&lt;=DAY(DATE($I$3,T!$A$4+1,1)-1),INDEX([7]ČR!E34:E399,DATE(2016,T!$A$4,1)-DATE(2016,1,1)+1,1)/1000,"")</f>
        <v>385702.25578571425</v>
      </c>
      <c r="E24" s="108">
        <f>IF(ROW(A24)-7&lt;=DAY(DATE($I$3,T!$A$4+1,1)-1),INDEX([5]PT!AF32:AF397,DATE(2016,T!$A$4,1)-DATE(2016,1,1)+1,1),"")</f>
        <v>-0.2</v>
      </c>
      <c r="F24" s="7"/>
      <c r="G24" s="785"/>
      <c r="H24" s="925">
        <f t="shared" si="3"/>
        <v>42052</v>
      </c>
      <c r="I24" s="789">
        <f t="shared" si="4"/>
        <v>36.27382433829149</v>
      </c>
      <c r="J24" s="790">
        <f t="shared" si="5"/>
        <v>-0.2</v>
      </c>
      <c r="K24" s="927" t="e">
        <f t="shared" si="6"/>
        <v>#N/A</v>
      </c>
      <c r="L24" s="788">
        <f t="shared" si="7"/>
        <v>0</v>
      </c>
      <c r="M24" s="928"/>
      <c r="N24" s="927" t="e">
        <f t="shared" si="2"/>
        <v>#N/A</v>
      </c>
      <c r="O24" s="788">
        <f t="shared" si="1"/>
        <v>0</v>
      </c>
      <c r="P24" s="928"/>
      <c r="R24" s="924"/>
      <c r="S24" s="178"/>
    </row>
    <row r="25" spans="1:19" ht="12" customHeight="1" x14ac:dyDescent="0.2">
      <c r="A25" s="106">
        <f>IF(ROW(A25)-7&lt;=DAY(DATE($I$3,T!$A$4+1,1)-1),INDEX([7]ČR!A35:A400,DATE(2016,T!$A$4,1)-DATE(2016,1,1)+1,1),"")</f>
        <v>42053</v>
      </c>
      <c r="B25" s="784" t="str">
        <f>IF(ROW(A25)-7&lt;=DAY(DATE($I$3,T!$A$4+1,1)-1),INDEX([7]ČR!B35:B400,DATE(2016,T!$A$4,1)-DATE(2016,1,1)+1,1),"")</f>
        <v>středa</v>
      </c>
      <c r="C25" s="103">
        <f>IF(ROW(A25)-7&lt;=DAY(DATE($I$3,T!$A$4+1,1)-1),INDEX([7]ČR!D35:D400,DATE(2016,T!$A$4,1)-DATE(2016,1,1)+1,1)/1000,"")</f>
        <v>36879.590118145963</v>
      </c>
      <c r="D25" s="107">
        <f>IF(ROW(A25)-7&lt;=DAY(DATE($I$3,T!$A$4+1,1)-1),INDEX([7]ČR!E35:E400,DATE(2016,T!$A$4,1)-DATE(2016,1,1)+1,1)/1000,"")</f>
        <v>392141.06078571425</v>
      </c>
      <c r="E25" s="108">
        <f>IF(ROW(A25)-7&lt;=DAY(DATE($I$3,T!$A$4+1,1)-1),INDEX([5]PT!AF33:AF398,DATE(2016,T!$A$4,1)-DATE(2016,1,1)+1,1),"")</f>
        <v>-0.3</v>
      </c>
      <c r="F25" s="7"/>
      <c r="G25" s="785"/>
      <c r="H25" s="925">
        <f t="shared" si="3"/>
        <v>42053</v>
      </c>
      <c r="I25" s="789">
        <f t="shared" si="4"/>
        <v>36.879590118145963</v>
      </c>
      <c r="J25" s="790">
        <f t="shared" si="5"/>
        <v>-0.3</v>
      </c>
      <c r="K25" s="927" t="e">
        <f t="shared" si="6"/>
        <v>#N/A</v>
      </c>
      <c r="L25" s="788">
        <f t="shared" si="7"/>
        <v>0</v>
      </c>
      <c r="M25" s="928"/>
      <c r="N25" s="927" t="e">
        <f t="shared" si="2"/>
        <v>#N/A</v>
      </c>
      <c r="O25" s="788">
        <f t="shared" si="1"/>
        <v>0</v>
      </c>
      <c r="P25" s="928"/>
      <c r="R25" s="924"/>
      <c r="S25" s="178"/>
    </row>
    <row r="26" spans="1:19" ht="12" customHeight="1" x14ac:dyDescent="0.2">
      <c r="A26" s="106">
        <f>IF(ROW(A26)-7&lt;=DAY(DATE($I$3,T!$A$4+1,1)-1),INDEX([7]ČR!A36:A401,DATE(2016,T!$A$4,1)-DATE(2016,1,1)+1,1),"")</f>
        <v>42054</v>
      </c>
      <c r="B26" s="784" t="str">
        <f>IF(ROW(A26)-7&lt;=DAY(DATE($I$3,T!$A$4+1,1)-1),INDEX([7]ČR!B36:B401,DATE(2016,T!$A$4,1)-DATE(2016,1,1)+1,1),"")</f>
        <v>čtvrtek</v>
      </c>
      <c r="C26" s="103">
        <f>IF(ROW(A26)-7&lt;=DAY(DATE($I$3,T!$A$4+1,1)-1),INDEX([7]ČR!D36:D401,DATE(2016,T!$A$4,1)-DATE(2016,1,1)+1,1)/1000,"")</f>
        <v>36528.261146452671</v>
      </c>
      <c r="D26" s="107">
        <f>IF(ROW(A26)-7&lt;=DAY(DATE($I$3,T!$A$4+1,1)-1),INDEX([7]ČR!E36:E401,DATE(2016,T!$A$4,1)-DATE(2016,1,1)+1,1)/1000,"")</f>
        <v>388407.89578571427</v>
      </c>
      <c r="E26" s="108">
        <f>IF(ROW(A26)-7&lt;=DAY(DATE($I$3,T!$A$4+1,1)-1),INDEX([5]PT!AF34:AF399,DATE(2016,T!$A$4,1)-DATE(2016,1,1)+1,1),"")</f>
        <v>-0.6</v>
      </c>
      <c r="F26" s="7"/>
      <c r="G26" s="785"/>
      <c r="H26" s="925">
        <f t="shared" si="3"/>
        <v>42054</v>
      </c>
      <c r="I26" s="789">
        <f t="shared" si="4"/>
        <v>36.528261146452671</v>
      </c>
      <c r="J26" s="790">
        <f t="shared" si="5"/>
        <v>-0.6</v>
      </c>
      <c r="K26" s="927" t="e">
        <f t="shared" si="6"/>
        <v>#N/A</v>
      </c>
      <c r="L26" s="788">
        <f t="shared" si="7"/>
        <v>0</v>
      </c>
      <c r="M26" s="928"/>
      <c r="N26" s="927" t="e">
        <f t="shared" si="2"/>
        <v>#N/A</v>
      </c>
      <c r="O26" s="788">
        <f t="shared" si="1"/>
        <v>0</v>
      </c>
      <c r="P26" s="928"/>
      <c r="R26" s="924"/>
      <c r="S26" s="178"/>
    </row>
    <row r="27" spans="1:19" ht="12" customHeight="1" x14ac:dyDescent="0.2">
      <c r="A27" s="106">
        <f>IF(ROW(A27)-7&lt;=DAY(DATE($I$3,T!$A$4+1,1)-1),INDEX([7]ČR!A37:A402,DATE(2016,T!$A$4,1)-DATE(2016,1,1)+1,1),"")</f>
        <v>42055</v>
      </c>
      <c r="B27" s="784" t="str">
        <f>IF(ROW(A27)-7&lt;=DAY(DATE($I$3,T!$A$4+1,1)-1),INDEX([7]ČR!B37:B402,DATE(2016,T!$A$4,1)-DATE(2016,1,1)+1,1),"")</f>
        <v>pátek</v>
      </c>
      <c r="C27" s="103">
        <f>IF(ROW(A27)-7&lt;=DAY(DATE($I$3,T!$A$4+1,1)-1),INDEX([7]ČR!D37:D402,DATE(2016,T!$A$4,1)-DATE(2016,1,1)+1,1)/1000,"")</f>
        <v>33703.544034626218</v>
      </c>
      <c r="D27" s="107">
        <f>IF(ROW(A27)-7&lt;=DAY(DATE($I$3,T!$A$4+1,1)-1),INDEX([7]ČR!E37:E402,DATE(2016,T!$A$4,1)-DATE(2016,1,1)+1,1)/1000,"")</f>
        <v>358387.69378571428</v>
      </c>
      <c r="E27" s="108">
        <f>IF(ROW(A27)-7&lt;=DAY(DATE($I$3,T!$A$4+1,1)-1),INDEX([5]PT!AF35:AF400,DATE(2016,T!$A$4,1)-DATE(2016,1,1)+1,1),"")</f>
        <v>1.2</v>
      </c>
      <c r="F27" s="7"/>
      <c r="G27" s="785"/>
      <c r="H27" s="925">
        <f t="shared" si="3"/>
        <v>42055</v>
      </c>
      <c r="I27" s="789">
        <f t="shared" si="4"/>
        <v>33.703544034626219</v>
      </c>
      <c r="J27" s="790">
        <f t="shared" si="5"/>
        <v>1.2</v>
      </c>
      <c r="K27" s="927" t="e">
        <f t="shared" si="6"/>
        <v>#N/A</v>
      </c>
      <c r="L27" s="788">
        <f t="shared" si="7"/>
        <v>0</v>
      </c>
      <c r="M27" s="928"/>
      <c r="N27" s="927" t="e">
        <f t="shared" si="2"/>
        <v>#N/A</v>
      </c>
      <c r="O27" s="788">
        <f t="shared" si="1"/>
        <v>0</v>
      </c>
      <c r="P27" s="928"/>
      <c r="R27" s="924"/>
      <c r="S27" s="178"/>
    </row>
    <row r="28" spans="1:19" ht="12" customHeight="1" x14ac:dyDescent="0.2">
      <c r="A28" s="106">
        <f>IF(ROW(A28)-7&lt;=DAY(DATE($I$3,T!$A$4+1,1)-1),INDEX([7]ČR!A38:A403,DATE(2016,T!$A$4,1)-DATE(2016,1,1)+1,1),"")</f>
        <v>42056</v>
      </c>
      <c r="B28" s="784" t="str">
        <f>IF(ROW(A28)-7&lt;=DAY(DATE($I$3,T!$A$4+1,1)-1),INDEX([7]ČR!B38:B403,DATE(2016,T!$A$4,1)-DATE(2016,1,1)+1,1),"")</f>
        <v>sobota</v>
      </c>
      <c r="C28" s="103">
        <f>IF(ROW(A28)-7&lt;=DAY(DATE($I$3,T!$A$4+1,1)-1),INDEX([7]ČR!D38:D403,DATE(2016,T!$A$4,1)-DATE(2016,1,1)+1,1)/1000,"")</f>
        <v>29747.995538224666</v>
      </c>
      <c r="D28" s="107">
        <f>IF(ROW(A28)-7&lt;=DAY(DATE($I$3,T!$A$4+1,1)-1),INDEX([7]ČR!E38:E403,DATE(2016,T!$A$4,1)-DATE(2016,1,1)+1,1)/1000,"")</f>
        <v>316335.87178571429</v>
      </c>
      <c r="E28" s="108">
        <f>IF(ROW(A28)-7&lt;=DAY(DATE($I$3,T!$A$4+1,1)-1),INDEX([5]PT!AF36:AF401,DATE(2016,T!$A$4,1)-DATE(2016,1,1)+1,1),"")</f>
        <v>2</v>
      </c>
      <c r="F28" s="7"/>
      <c r="G28" s="785"/>
      <c r="H28" s="925">
        <f t="shared" si="3"/>
        <v>42056</v>
      </c>
      <c r="I28" s="789">
        <f t="shared" si="4"/>
        <v>29.747995538224668</v>
      </c>
      <c r="J28" s="790">
        <f t="shared" si="5"/>
        <v>2</v>
      </c>
      <c r="K28" s="927" t="e">
        <f t="shared" si="6"/>
        <v>#N/A</v>
      </c>
      <c r="L28" s="788">
        <f t="shared" si="7"/>
        <v>0</v>
      </c>
      <c r="M28" s="928"/>
      <c r="N28" s="927" t="e">
        <f t="shared" si="2"/>
        <v>#N/A</v>
      </c>
      <c r="O28" s="788">
        <f t="shared" si="1"/>
        <v>0</v>
      </c>
      <c r="P28" s="928"/>
      <c r="R28" s="924"/>
      <c r="S28" s="178"/>
    </row>
    <row r="29" spans="1:19" ht="12" customHeight="1" x14ac:dyDescent="0.2">
      <c r="A29" s="106">
        <f>IF(ROW(A29)-7&lt;=DAY(DATE($I$3,T!$A$4+1,1)-1),INDEX([7]ČR!A39:A404,DATE(2016,T!$A$4,1)-DATE(2016,1,1)+1,1),"")</f>
        <v>42057</v>
      </c>
      <c r="B29" s="784" t="str">
        <f>IF(ROW(A29)-7&lt;=DAY(DATE($I$3,T!$A$4+1,1)-1),INDEX([7]ČR!B39:B404,DATE(2016,T!$A$4,1)-DATE(2016,1,1)+1,1),"")</f>
        <v>neděle</v>
      </c>
      <c r="C29" s="103">
        <f>IF(ROW(A29)-7&lt;=DAY(DATE($I$3,T!$A$4+1,1)-1),INDEX([7]ČR!D39:D404,DATE(2016,T!$A$4,1)-DATE(2016,1,1)+1,1)/1000,"")</f>
        <v>30593.376885161437</v>
      </c>
      <c r="D29" s="107">
        <f>IF(ROW(A29)-7&lt;=DAY(DATE($I$3,T!$A$4+1,1)-1),INDEX([7]ČR!E39:E404,DATE(2016,T!$A$4,1)-DATE(2016,1,1)+1,1)/1000,"")</f>
        <v>325318.0887857143</v>
      </c>
      <c r="E29" s="108">
        <f>IF(ROW(A29)-7&lt;=DAY(DATE($I$3,T!$A$4+1,1)-1),INDEX([5]PT!AF37:AF402,DATE(2016,T!$A$4,1)-DATE(2016,1,1)+1,1),"")</f>
        <v>2</v>
      </c>
      <c r="F29" s="7"/>
      <c r="G29" s="785"/>
      <c r="H29" s="925">
        <f t="shared" si="3"/>
        <v>42057</v>
      </c>
      <c r="I29" s="789">
        <f t="shared" si="4"/>
        <v>30.593376885161437</v>
      </c>
      <c r="J29" s="790">
        <f t="shared" si="5"/>
        <v>2</v>
      </c>
      <c r="K29" s="927" t="e">
        <f t="shared" si="6"/>
        <v>#N/A</v>
      </c>
      <c r="L29" s="788">
        <f t="shared" si="7"/>
        <v>0</v>
      </c>
      <c r="M29" s="928"/>
      <c r="N29" s="927" t="e">
        <f t="shared" si="2"/>
        <v>#N/A</v>
      </c>
      <c r="O29" s="788">
        <f t="shared" si="1"/>
        <v>0</v>
      </c>
      <c r="P29" s="928"/>
      <c r="R29" s="924"/>
      <c r="S29" s="178"/>
    </row>
    <row r="30" spans="1:19" ht="12" customHeight="1" x14ac:dyDescent="0.2">
      <c r="A30" s="106">
        <f>IF(ROW(A30)-7&lt;=DAY(DATE($I$3,T!$A$4+1,1)-1),INDEX([7]ČR!A40:A405,DATE(2016,T!$A$4,1)-DATE(2016,1,1)+1,1),"")</f>
        <v>42058</v>
      </c>
      <c r="B30" s="784" t="str">
        <f>IF(ROW(A30)-7&lt;=DAY(DATE($I$3,T!$A$4+1,1)-1),INDEX([7]ČR!B40:B405,DATE(2016,T!$A$4,1)-DATE(2016,1,1)+1,1),"")</f>
        <v>pondělí</v>
      </c>
      <c r="C30" s="103">
        <f>IF(ROW(A30)-7&lt;=DAY(DATE($I$3,T!$A$4+1,1)-1),INDEX([7]ČR!D40:D405,DATE(2016,T!$A$4,1)-DATE(2016,1,1)+1,1)/1000,"")</f>
        <v>33462.86227290424</v>
      </c>
      <c r="D30" s="107">
        <f>IF(ROW(A30)-7&lt;=DAY(DATE($I$3,T!$A$4+1,1)-1),INDEX([7]ČR!E40:E405,DATE(2016,T!$A$4,1)-DATE(2016,1,1)+1,1)/1000,"")</f>
        <v>355829.27678571426</v>
      </c>
      <c r="E30" s="108">
        <f>IF(ROW(A30)-7&lt;=DAY(DATE($I$3,T!$A$4+1,1)-1),INDEX([5]PT!AF38:AF403,DATE(2016,T!$A$4,1)-DATE(2016,1,1)+1,1),"")</f>
        <v>3.1</v>
      </c>
      <c r="F30" s="7"/>
      <c r="G30" s="785"/>
      <c r="H30" s="925">
        <f t="shared" si="3"/>
        <v>42058</v>
      </c>
      <c r="I30" s="789">
        <f t="shared" si="4"/>
        <v>33.462862272904239</v>
      </c>
      <c r="J30" s="790">
        <f t="shared" si="5"/>
        <v>3.1</v>
      </c>
      <c r="K30" s="927" t="e">
        <f t="shared" si="6"/>
        <v>#N/A</v>
      </c>
      <c r="L30" s="788">
        <f t="shared" si="7"/>
        <v>0</v>
      </c>
      <c r="M30" s="928"/>
      <c r="N30" s="927" t="e">
        <f t="shared" si="2"/>
        <v>#N/A</v>
      </c>
      <c r="O30" s="788">
        <f t="shared" si="1"/>
        <v>0</v>
      </c>
      <c r="P30" s="928"/>
      <c r="R30" s="924"/>
      <c r="S30" s="178"/>
    </row>
    <row r="31" spans="1:19" ht="12" customHeight="1" x14ac:dyDescent="0.2">
      <c r="A31" s="106">
        <f>IF(ROW(A31)-7&lt;=DAY(DATE($I$3,T!$A$4+1,1)-1),INDEX([7]ČR!A41:A406,DATE(2016,T!$A$4,1)-DATE(2016,1,1)+1,1),"")</f>
        <v>42059</v>
      </c>
      <c r="B31" s="784" t="str">
        <f>IF(ROW(A31)-7&lt;=DAY(DATE($I$3,T!$A$4+1,1)-1),INDEX([7]ČR!B41:B406,DATE(2016,T!$A$4,1)-DATE(2016,1,1)+1,1),"")</f>
        <v>úterý</v>
      </c>
      <c r="C31" s="103">
        <f>IF(ROW(A31)-7&lt;=DAY(DATE($I$3,T!$A$4+1,1)-1),INDEX([7]ČR!D41:D406,DATE(2016,T!$A$4,1)-DATE(2016,1,1)+1,1)/1000,"")</f>
        <v>32092.613243413885</v>
      </c>
      <c r="D31" s="107">
        <f>IF(ROW(A31)-7&lt;=DAY(DATE($I$3,T!$A$4+1,1)-1),INDEX([7]ČR!E41:E406,DATE(2016,T!$A$4,1)-DATE(2016,1,1)+1,1)/1000,"")</f>
        <v>341261.04178571427</v>
      </c>
      <c r="E31" s="108">
        <f>IF(ROW(A31)-7&lt;=DAY(DATE($I$3,T!$A$4+1,1)-1),INDEX([5]PT!AF39:AF404,DATE(2016,T!$A$4,1)-DATE(2016,1,1)+1,1),"")</f>
        <v>3.7</v>
      </c>
      <c r="F31" s="7"/>
      <c r="G31" s="785"/>
      <c r="H31" s="925">
        <f t="shared" si="3"/>
        <v>42059</v>
      </c>
      <c r="I31" s="789">
        <f t="shared" si="4"/>
        <v>32.092613243413886</v>
      </c>
      <c r="J31" s="790">
        <f t="shared" si="5"/>
        <v>3.7</v>
      </c>
      <c r="K31" s="927" t="e">
        <f t="shared" si="6"/>
        <v>#N/A</v>
      </c>
      <c r="L31" s="788">
        <f t="shared" si="7"/>
        <v>0</v>
      </c>
      <c r="M31" s="928"/>
      <c r="N31" s="927" t="e">
        <f t="shared" si="2"/>
        <v>#N/A</v>
      </c>
      <c r="O31" s="788">
        <f t="shared" si="1"/>
        <v>0</v>
      </c>
      <c r="P31" s="928"/>
      <c r="R31" s="924"/>
      <c r="S31" s="178"/>
    </row>
    <row r="32" spans="1:19" ht="12" customHeight="1" x14ac:dyDescent="0.2">
      <c r="A32" s="106">
        <f>IF(ROW(A32)-7&lt;=DAY(DATE($I$3,T!$A$4+1,1)-1),INDEX([7]ČR!A42:A407,DATE(2016,T!$A$4,1)-DATE(2016,1,1)+1,1),"")</f>
        <v>42060</v>
      </c>
      <c r="B32" s="784" t="str">
        <f>IF(ROW(A32)-7&lt;=DAY(DATE($I$3,T!$A$4+1,1)-1),INDEX([7]ČR!B42:B407,DATE(2016,T!$A$4,1)-DATE(2016,1,1)+1,1),"")</f>
        <v>středa</v>
      </c>
      <c r="C32" s="103">
        <f>IF(ROW(A32)-7&lt;=DAY(DATE($I$3,T!$A$4+1,1)-1),INDEX([7]ČR!D42:D407,DATE(2016,T!$A$4,1)-DATE(2016,1,1)+1,1)/1000,"")</f>
        <v>33199.114901346875</v>
      </c>
      <c r="D32" s="107">
        <f>IF(ROW(A32)-7&lt;=DAY(DATE($I$3,T!$A$4+1,1)-1),INDEX([7]ČR!E42:E407,DATE(2016,T!$A$4,1)-DATE(2016,1,1)+1,1)/1000,"")</f>
        <v>353021.83578571427</v>
      </c>
      <c r="E32" s="108">
        <f>IF(ROW(A32)-7&lt;=DAY(DATE($I$3,T!$A$4+1,1)-1),INDEX([5]PT!AF40:AF405,DATE(2016,T!$A$4,1)-DATE(2016,1,1)+1,1),"")</f>
        <v>2.4</v>
      </c>
      <c r="F32" s="7"/>
      <c r="G32" s="785"/>
      <c r="H32" s="925">
        <f t="shared" si="3"/>
        <v>42060</v>
      </c>
      <c r="I32" s="789">
        <f t="shared" si="4"/>
        <v>33.199114901346874</v>
      </c>
      <c r="J32" s="790">
        <f t="shared" si="5"/>
        <v>2.4</v>
      </c>
      <c r="K32" s="927" t="e">
        <f t="shared" si="6"/>
        <v>#N/A</v>
      </c>
      <c r="L32" s="788">
        <f t="shared" si="7"/>
        <v>0</v>
      </c>
      <c r="M32" s="928"/>
      <c r="N32" s="927" t="e">
        <f t="shared" si="2"/>
        <v>#N/A</v>
      </c>
      <c r="O32" s="788">
        <f t="shared" si="1"/>
        <v>0</v>
      </c>
      <c r="P32" s="928"/>
    </row>
    <row r="33" spans="1:16" ht="12" customHeight="1" x14ac:dyDescent="0.2">
      <c r="A33" s="106">
        <f>IF(ROW(A33)-7&lt;=DAY(DATE($I$3,T!$A$4+1,1)-1),INDEX([7]ČR!A43:A408,DATE(2016,T!$A$4,1)-DATE(2016,1,1)+1,1),"")</f>
        <v>42061</v>
      </c>
      <c r="B33" s="784" t="str">
        <f>IF(ROW(A33)-7&lt;=DAY(DATE($I$3,T!$A$4+1,1)-1),INDEX([7]ČR!B43:B408,DATE(2016,T!$A$4,1)-DATE(2016,1,1)+1,1),"")</f>
        <v>čtvrtek</v>
      </c>
      <c r="C33" s="103">
        <f>IF(ROW(A33)-7&lt;=DAY(DATE($I$3,T!$A$4+1,1)-1),INDEX([7]ČR!D43:D408,DATE(2016,T!$A$4,1)-DATE(2016,1,1)+1,1)/1000,"")</f>
        <v>33339.268505793574</v>
      </c>
      <c r="D33" s="107">
        <f>IF(ROW(A33)-7&lt;=DAY(DATE($I$3,T!$A$4+1,1)-1),INDEX([7]ČR!E43:E408,DATE(2016,T!$A$4,1)-DATE(2016,1,1)+1,1)/1000,"")</f>
        <v>354512.32178571424</v>
      </c>
      <c r="E33" s="108">
        <f>IF(ROW(A33)-7&lt;=DAY(DATE($I$3,T!$A$4+1,1)-1),INDEX([5]PT!AF41:AF406,DATE(2016,T!$A$4,1)-DATE(2016,1,1)+1,1),"")</f>
        <v>2</v>
      </c>
      <c r="F33" s="7"/>
      <c r="G33" s="785"/>
      <c r="H33" s="925">
        <f t="shared" si="3"/>
        <v>42061</v>
      </c>
      <c r="I33" s="789">
        <f t="shared" si="4"/>
        <v>33.339268505793576</v>
      </c>
      <c r="J33" s="790">
        <f t="shared" si="5"/>
        <v>2</v>
      </c>
      <c r="K33" s="927" t="e">
        <f t="shared" si="6"/>
        <v>#N/A</v>
      </c>
      <c r="L33" s="788">
        <f t="shared" si="7"/>
        <v>0</v>
      </c>
      <c r="M33" s="928"/>
      <c r="N33" s="927" t="e">
        <f t="shared" si="2"/>
        <v>#N/A</v>
      </c>
      <c r="O33" s="788">
        <f t="shared" si="1"/>
        <v>0</v>
      </c>
      <c r="P33" s="928"/>
    </row>
    <row r="34" spans="1:16" ht="12" customHeight="1" x14ac:dyDescent="0.2">
      <c r="A34" s="106">
        <f>IF(ROW(A34)-7&lt;=DAY(DATE($I$3,T!$A$4+1,1)-1),INDEX([7]ČR!A44:A409,DATE(2016,T!$A$4,1)-DATE(2016,1,1)+1,1),"")</f>
        <v>42062</v>
      </c>
      <c r="B34" s="784" t="str">
        <f>IF(ROW(A34)-7&lt;=DAY(DATE($I$3,T!$A$4+1,1)-1),INDEX([7]ČR!B44:B409,DATE(2016,T!$A$4,1)-DATE(2016,1,1)+1,1),"")</f>
        <v>pátek</v>
      </c>
      <c r="C34" s="103">
        <f>IF(ROW(A34)-7&lt;=DAY(DATE($I$3,T!$A$4+1,1)-1),INDEX([7]ČR!D44:D409,DATE(2016,T!$A$4,1)-DATE(2016,1,1)+1,1)/1000,"")</f>
        <v>32085.560383060245</v>
      </c>
      <c r="D34" s="107">
        <f>IF(ROW(A34)-7&lt;=DAY(DATE($I$3,T!$A$4+1,1)-1),INDEX([7]ČR!E44:E409,DATE(2016,T!$A$4,1)-DATE(2016,1,1)+1,1)/1000,"")</f>
        <v>341188.14178571425</v>
      </c>
      <c r="E34" s="108">
        <f>IF(ROW(A34)-7&lt;=DAY(DATE($I$3,T!$A$4+1,1)-1),INDEX([5]PT!AF42:AF407,DATE(2016,T!$A$4,1)-DATE(2016,1,1)+1,1),"")</f>
        <v>2.5</v>
      </c>
      <c r="F34" s="7"/>
      <c r="G34" s="785"/>
      <c r="H34" s="925">
        <f t="shared" si="3"/>
        <v>42062</v>
      </c>
      <c r="I34" s="789">
        <f t="shared" si="4"/>
        <v>32.085560383060248</v>
      </c>
      <c r="J34" s="790">
        <f t="shared" si="5"/>
        <v>2.5</v>
      </c>
      <c r="K34" s="927" t="e">
        <f t="shared" si="6"/>
        <v>#N/A</v>
      </c>
      <c r="L34" s="788">
        <f t="shared" si="7"/>
        <v>0</v>
      </c>
      <c r="M34" s="928"/>
      <c r="N34" s="927" t="e">
        <f t="shared" si="2"/>
        <v>#N/A</v>
      </c>
      <c r="O34" s="788">
        <f t="shared" si="1"/>
        <v>0</v>
      </c>
      <c r="P34" s="928"/>
    </row>
    <row r="35" spans="1:16" ht="12" customHeight="1" x14ac:dyDescent="0.2">
      <c r="A35" s="106">
        <f>IF(ROW(A35)-7&lt;=DAY(DATE($I$3,T!$A$4+1,1)-1),INDEX([7]ČR!A45:A410,DATE(2016,T!$A$4,1)-DATE(2016,1,1)+1,1),"")</f>
        <v>42063</v>
      </c>
      <c r="B35" s="784" t="str">
        <f>IF(ROW(A35)-7&lt;=DAY(DATE($I$3,T!$A$4+1,1)-1),INDEX([7]ČR!B45:B410,DATE(2016,T!$A$4,1)-DATE(2016,1,1)+1,1),"")</f>
        <v>sobota</v>
      </c>
      <c r="C35" s="103">
        <f>IF(ROW(A35)-7&lt;=DAY(DATE($I$3,T!$A$4+1,1)-1),INDEX([7]ČR!D45:D410,DATE(2016,T!$A$4,1)-DATE(2016,1,1)+1,1)/1000,"")</f>
        <v>29662.131335351482</v>
      </c>
      <c r="D35" s="107">
        <f>IF(ROW(A35)-7&lt;=DAY(DATE($I$3,T!$A$4+1,1)-1),INDEX([7]ČR!E45:E410,DATE(2016,T!$A$4,1)-DATE(2016,1,1)+1,1)/1000,"")</f>
        <v>315423.35078571428</v>
      </c>
      <c r="E35" s="108">
        <f>IF(ROW(A35)-7&lt;=DAY(DATE($I$3,T!$A$4+1,1)-1),INDEX([5]PT!AF43:AF408,DATE(2016,T!$A$4,1)-DATE(2016,1,1)+1,1),"")</f>
        <v>2.2000000000000002</v>
      </c>
      <c r="F35" s="7"/>
      <c r="G35" s="785"/>
      <c r="H35" s="925">
        <f t="shared" si="3"/>
        <v>42063</v>
      </c>
      <c r="I35" s="789">
        <f t="shared" si="4"/>
        <v>29.662131335351482</v>
      </c>
      <c r="J35" s="790">
        <f t="shared" si="5"/>
        <v>2.2000000000000002</v>
      </c>
      <c r="K35" s="927" t="e">
        <f t="shared" si="6"/>
        <v>#N/A</v>
      </c>
      <c r="L35" s="788">
        <f t="shared" si="7"/>
        <v>0</v>
      </c>
      <c r="M35" s="928"/>
      <c r="N35" s="927" t="e">
        <f t="shared" si="2"/>
        <v>#N/A</v>
      </c>
      <c r="O35" s="788">
        <f t="shared" si="1"/>
        <v>0</v>
      </c>
      <c r="P35" s="928"/>
    </row>
    <row r="36" spans="1:16" ht="12" customHeight="1" x14ac:dyDescent="0.2">
      <c r="A36" s="106" t="str">
        <f>IF(ROW(A36)-7&lt;=DAY(DATE($I$3,T!$A$4+1,1)-1),INDEX([7]ČR!A46:A411,DATE(2016,T!$A$4,1)-DATE(2016,1,1)+1,1),"")</f>
        <v/>
      </c>
      <c r="B36" s="784" t="str">
        <f>IF(ROW(A36)-7&lt;=DAY(DATE($I$3,T!$A$4+1,1)-1),INDEX([7]ČR!B46:B411,DATE(2016,T!$A$4,1)-DATE(2016,1,1)+1,1),"")</f>
        <v/>
      </c>
      <c r="C36" s="103" t="str">
        <f>IF(ROW(A36)-7&lt;=DAY(DATE($I$3,T!$A$4+1,1)-1),INDEX([7]ČR!D46:D411,DATE(2016,T!$A$4,1)-DATE(2016,1,1)+1,1)/1000,"")</f>
        <v/>
      </c>
      <c r="D36" s="107" t="str">
        <f>IF(ROW(A36)-7&lt;=DAY(DATE($I$3,T!$A$4+1,1)-1),INDEX([7]ČR!E46:E411,DATE(2016,T!$A$4,1)-DATE(2016,1,1)+1,1)/1000,"")</f>
        <v/>
      </c>
      <c r="E36" s="108" t="str">
        <f>IF(ROW(A36)-7&lt;=DAY(DATE($I$3,T!$A$4+1,1)-1),INDEX([5]PT!AF44:AF409,DATE(2016,T!$A$4,1)-DATE(2016,1,1)+1,1),"")</f>
        <v/>
      </c>
      <c r="F36" s="7"/>
      <c r="G36" s="785"/>
      <c r="H36" s="925" t="e">
        <f t="shared" si="3"/>
        <v>#N/A</v>
      </c>
      <c r="I36" s="789" t="e">
        <f t="shared" si="4"/>
        <v>#N/A</v>
      </c>
      <c r="J36" s="790" t="e">
        <f t="shared" si="5"/>
        <v>#N/A</v>
      </c>
      <c r="K36" s="927" t="e">
        <f t="shared" si="6"/>
        <v>#N/A</v>
      </c>
      <c r="L36" s="788">
        <f t="shared" si="7"/>
        <v>0</v>
      </c>
      <c r="M36" s="928"/>
      <c r="N36" s="927" t="e">
        <f t="shared" si="2"/>
        <v>#N/A</v>
      </c>
      <c r="O36" s="788">
        <f t="shared" si="1"/>
        <v>0</v>
      </c>
      <c r="P36" s="928"/>
    </row>
    <row r="37" spans="1:16" ht="12" customHeight="1" x14ac:dyDescent="0.2">
      <c r="A37" s="106" t="str">
        <f>IF(ROW(A37)-7&lt;=DAY(DATE($I$3,T!$A$4+1,1)-1),INDEX([7]ČR!A47:A412,DATE(2016,T!$A$4,1)-DATE(2016,1,1)+1,1),"")</f>
        <v/>
      </c>
      <c r="B37" s="784" t="str">
        <f>IF(ROW(A37)-7&lt;=DAY(DATE($I$3,T!$A$4+1,1)-1),INDEX([7]ČR!B47:B412,DATE(2016,T!$A$4,1)-DATE(2016,1,1)+1,1),"")</f>
        <v/>
      </c>
      <c r="C37" s="103" t="str">
        <f>IF(ROW(A37)-7&lt;=DAY(DATE($I$3,T!$A$4+1,1)-1),INDEX([7]ČR!D47:D412,DATE(2016,T!$A$4,1)-DATE(2016,1,1)+1,1)/1000,"")</f>
        <v/>
      </c>
      <c r="D37" s="107" t="str">
        <f>IF(ROW(A37)-7&lt;=DAY(DATE($I$3,T!$A$4+1,1)-1),INDEX([7]ČR!E47:E412,DATE(2016,T!$A$4,1)-DATE(2016,1,1)+1,1)/1000,"")</f>
        <v/>
      </c>
      <c r="E37" s="108" t="str">
        <f>IF(ROW(A37)-7&lt;=DAY(DATE($I$3,T!$A$4+1,1)-1),INDEX([5]PT!AF45:AF410,DATE(2016,T!$A$4,1)-DATE(2016,1,1)+1,1),"")</f>
        <v/>
      </c>
      <c r="F37" s="7"/>
      <c r="G37" s="785"/>
      <c r="H37" s="925" t="e">
        <f t="shared" si="3"/>
        <v>#N/A</v>
      </c>
      <c r="I37" s="789" t="e">
        <f t="shared" si="4"/>
        <v>#N/A</v>
      </c>
      <c r="J37" s="790" t="e">
        <f t="shared" si="5"/>
        <v>#N/A</v>
      </c>
      <c r="K37" s="927" t="e">
        <f t="shared" si="6"/>
        <v>#N/A</v>
      </c>
      <c r="L37" s="788">
        <f t="shared" si="7"/>
        <v>0</v>
      </c>
      <c r="M37" s="928"/>
      <c r="N37" s="927" t="e">
        <f t="shared" si="2"/>
        <v>#N/A</v>
      </c>
      <c r="O37" s="788">
        <f t="shared" si="1"/>
        <v>0</v>
      </c>
      <c r="P37" s="928"/>
    </row>
    <row r="38" spans="1:16" ht="12" customHeight="1" x14ac:dyDescent="0.2">
      <c r="A38" s="106" t="str">
        <f>IF(ROW(A38)-7&lt;=DAY(DATE($I$3,T!$A$4+1,1)-1),INDEX([7]ČR!A48:A413,DATE(2016,T!$A$4,1)-DATE(2016,1,1)+1,1),"")</f>
        <v/>
      </c>
      <c r="B38" s="784" t="str">
        <f>IF(ROW(A38)-7&lt;=DAY(DATE($I$3,T!$A$4+1,1)-1),INDEX([7]ČR!B48:B413,DATE(2016,T!$A$4,1)-DATE(2016,1,1)+1,1),"")</f>
        <v/>
      </c>
      <c r="C38" s="103" t="str">
        <f>IF(ROW(A38)-7&lt;=DAY(DATE($I$3,T!$A$4+1,1)-1),INDEX([7]ČR!D48:D413,DATE(2016,T!$A$4,1)-DATE(2016,1,1)+1,1)/1000,"")</f>
        <v/>
      </c>
      <c r="D38" s="107" t="str">
        <f>IF(ROW(A38)-7&lt;=DAY(DATE($I$3,T!$A$4+1,1)-1),INDEX([7]ČR!E48:E413,DATE(2016,T!$A$4,1)-DATE(2016,1,1)+1,1)/1000,"")</f>
        <v/>
      </c>
      <c r="E38" s="108" t="str">
        <f>IF(ROW(A38)-7&lt;=DAY(DATE($I$3,T!$A$4+1,1)-1),INDEX([5]PT!AF46:AF411,DATE(2016,T!$A$4,1)-DATE(2016,1,1)+1,1),"")</f>
        <v/>
      </c>
      <c r="F38" s="7"/>
      <c r="G38" s="785"/>
      <c r="H38" s="925" t="e">
        <f t="shared" si="3"/>
        <v>#N/A</v>
      </c>
      <c r="I38" s="789" t="e">
        <f t="shared" si="4"/>
        <v>#N/A</v>
      </c>
      <c r="J38" s="790" t="e">
        <f t="shared" si="5"/>
        <v>#N/A</v>
      </c>
      <c r="K38" s="927" t="e">
        <f t="shared" si="6"/>
        <v>#N/A</v>
      </c>
      <c r="L38" s="788">
        <f t="shared" si="7"/>
        <v>0</v>
      </c>
      <c r="M38" s="928"/>
      <c r="N38" s="927" t="e">
        <f t="shared" si="2"/>
        <v>#N/A</v>
      </c>
      <c r="O38" s="788">
        <f t="shared" si="1"/>
        <v>0</v>
      </c>
      <c r="P38" s="928"/>
    </row>
    <row r="39" spans="1:16" ht="12" customHeight="1" x14ac:dyDescent="0.2">
      <c r="A39" s="1005" t="s">
        <v>2</v>
      </c>
      <c r="B39" s="1006"/>
      <c r="C39" s="889">
        <f>SUM(C8:C38)</f>
        <v>989866.89164730837</v>
      </c>
      <c r="D39" s="890">
        <f>SUM(D8:D38)</f>
        <v>10525401.338</v>
      </c>
      <c r="E39" s="891">
        <f>AVERAGE(E8:E38)</f>
        <v>0.22142857142857128</v>
      </c>
      <c r="F39" s="7"/>
      <c r="G39" s="1004"/>
      <c r="H39" s="92"/>
      <c r="I39" s="926"/>
      <c r="J39" s="92"/>
      <c r="K39" s="92"/>
      <c r="L39" s="92"/>
      <c r="M39" s="92"/>
      <c r="N39" s="92"/>
      <c r="O39" s="92"/>
      <c r="P39" s="92"/>
    </row>
    <row r="40" spans="1:16" ht="12" customHeight="1" x14ac:dyDescent="0.2">
      <c r="A40" s="1007" t="s">
        <v>45</v>
      </c>
      <c r="B40" s="1008"/>
      <c r="C40" s="104">
        <f>MAX(C8:C38)</f>
        <v>42621.557004484406</v>
      </c>
      <c r="D40" s="8">
        <f>MAX(D8:D38)</f>
        <v>453141.77378571429</v>
      </c>
      <c r="E40" s="43">
        <f>VLOOKUP(C40,$C$8:$E$38,3,FALSE)</f>
        <v>-3.4</v>
      </c>
      <c r="F40" s="7"/>
      <c r="G40" s="1004"/>
      <c r="H40" s="92"/>
      <c r="I40" s="92"/>
      <c r="J40" s="92"/>
      <c r="K40" s="92"/>
      <c r="L40" s="92"/>
      <c r="M40" s="92"/>
      <c r="N40" s="92"/>
      <c r="O40" s="92"/>
      <c r="P40" s="92"/>
    </row>
    <row r="41" spans="1:16" ht="12" customHeight="1" x14ac:dyDescent="0.2">
      <c r="A41" s="1007" t="s">
        <v>46</v>
      </c>
      <c r="B41" s="1008"/>
      <c r="C41" s="104">
        <f>MIN(C8:C38)</f>
        <v>29662.131335351482</v>
      </c>
      <c r="D41" s="8">
        <f>MIN(D8:D38)</f>
        <v>315423.35078571428</v>
      </c>
      <c r="E41" s="43">
        <f>VLOOKUP(C41,$C$8:$E$38,3,FALSE)</f>
        <v>2.2000000000000002</v>
      </c>
      <c r="F41" s="7"/>
      <c r="G41" s="1004"/>
      <c r="H41" s="92"/>
      <c r="I41" s="92"/>
      <c r="J41" s="92"/>
      <c r="K41" s="92"/>
      <c r="L41" s="92"/>
      <c r="M41" s="92"/>
      <c r="N41" s="92"/>
      <c r="O41" s="92"/>
      <c r="P41" s="92"/>
    </row>
    <row r="42" spans="1:16" ht="12" customHeight="1" x14ac:dyDescent="0.2">
      <c r="A42" s="1009" t="s">
        <v>44</v>
      </c>
      <c r="B42" s="1010"/>
      <c r="C42" s="105">
        <f>AVERAGE(C8:C38)</f>
        <v>35352.388987403872</v>
      </c>
      <c r="D42" s="44">
        <f>AVERAGE(D8:D38)</f>
        <v>375907.19064285711</v>
      </c>
      <c r="E42" s="45">
        <f>AVERAGE(E8:E38)</f>
        <v>0.22142857142857128</v>
      </c>
      <c r="F42" s="7"/>
      <c r="G42" s="1004"/>
      <c r="H42" s="92"/>
      <c r="I42" s="92"/>
      <c r="J42" s="92"/>
      <c r="K42" s="92"/>
      <c r="L42" s="92"/>
      <c r="M42" s="92"/>
      <c r="N42" s="92"/>
      <c r="O42" s="92"/>
      <c r="P42" s="92"/>
    </row>
    <row r="43" spans="1:16" ht="12" customHeight="1" x14ac:dyDescent="0.2">
      <c r="A43" s="2"/>
      <c r="F43" s="61"/>
      <c r="G43" s="61"/>
    </row>
    <row r="46" spans="1:16" x14ac:dyDescent="0.2">
      <c r="C46" s="68"/>
      <c r="D46" s="68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18" style="17" customWidth="1"/>
    <col min="2" max="2" width="15" style="17" customWidth="1"/>
    <col min="3" max="3" width="6.42578125" style="99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973" t="s">
        <v>75</v>
      </c>
      <c r="P1" s="973"/>
    </row>
    <row r="2" spans="1:17" ht="15.95" customHeight="1" x14ac:dyDescent="0.25">
      <c r="A2" s="1023" t="s">
        <v>190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</row>
    <row r="3" spans="1:17" ht="14.1" customHeight="1" x14ac:dyDescent="0.25">
      <c r="A3" s="1024">
        <f>T!$I$21</f>
        <v>2015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4"/>
      <c r="L3" s="1024"/>
      <c r="M3" s="1024"/>
      <c r="N3" s="1024"/>
      <c r="O3" s="1024"/>
      <c r="P3" s="1024"/>
    </row>
    <row r="4" spans="1:17" ht="14.1" customHeight="1" x14ac:dyDescent="0.2">
      <c r="D4" s="500"/>
      <c r="E4" s="500"/>
      <c r="F4" s="500"/>
      <c r="G4" s="500"/>
      <c r="P4" s="601"/>
    </row>
    <row r="5" spans="1:17" ht="18" customHeight="1" x14ac:dyDescent="0.2">
      <c r="A5" s="522"/>
      <c r="B5" s="523"/>
      <c r="C5" s="524"/>
      <c r="D5" s="503" t="s">
        <v>13</v>
      </c>
      <c r="E5" s="503" t="s">
        <v>58</v>
      </c>
      <c r="F5" s="525" t="s">
        <v>59</v>
      </c>
      <c r="G5" s="503" t="s">
        <v>60</v>
      </c>
      <c r="H5" s="503" t="s">
        <v>61</v>
      </c>
      <c r="I5" s="525" t="s">
        <v>62</v>
      </c>
      <c r="J5" s="503" t="s">
        <v>63</v>
      </c>
      <c r="K5" s="503" t="s">
        <v>64</v>
      </c>
      <c r="L5" s="525" t="s">
        <v>65</v>
      </c>
      <c r="M5" s="503" t="s">
        <v>66</v>
      </c>
      <c r="N5" s="503" t="s">
        <v>67</v>
      </c>
      <c r="O5" s="503" t="s">
        <v>68</v>
      </c>
      <c r="P5" s="595" t="s">
        <v>2</v>
      </c>
      <c r="Q5" s="13"/>
    </row>
    <row r="6" spans="1:17" ht="9.9499999999999993" customHeight="1" x14ac:dyDescent="0.2">
      <c r="A6" s="1025" t="s">
        <v>256</v>
      </c>
      <c r="B6" s="526"/>
      <c r="C6" s="527"/>
      <c r="D6" s="502"/>
      <c r="E6" s="502"/>
      <c r="F6" s="528"/>
      <c r="G6" s="502"/>
      <c r="H6" s="502"/>
      <c r="I6" s="528"/>
      <c r="J6" s="502"/>
      <c r="K6" s="502"/>
      <c r="L6" s="528"/>
      <c r="M6" s="502"/>
      <c r="N6" s="502"/>
      <c r="O6" s="502"/>
      <c r="P6" s="596"/>
      <c r="Q6" s="13"/>
    </row>
    <row r="7" spans="1:17" ht="18" customHeight="1" x14ac:dyDescent="0.2">
      <c r="A7" s="1021"/>
      <c r="B7" s="571" t="str">
        <f>"spotřeba "&amp;$A$3</f>
        <v>spotřeba 2015</v>
      </c>
      <c r="C7" s="573" t="s">
        <v>253</v>
      </c>
      <c r="D7" s="529">
        <f>IF(T!$A$4&gt;='[8]Podklady MZ'!D$2,'[8]Podklady MZ'!D12,"")</f>
        <v>1081.280644710429</v>
      </c>
      <c r="E7" s="530">
        <f>IF(T!$A$4&gt;='[8]Podklady MZ'!E$2,'[8]Podklady MZ'!E12,"")</f>
        <v>989.86689164730865</v>
      </c>
      <c r="F7" s="531" t="str">
        <f>IF(T!$A$4&gt;='[8]Podklady MZ'!F$2,'[8]Podklady MZ'!F12,"")</f>
        <v/>
      </c>
      <c r="G7" s="530" t="str">
        <f>IF(T!$A$4&gt;='[8]Podklady MZ'!G$2,'[8]Podklady MZ'!G12,"")</f>
        <v/>
      </c>
      <c r="H7" s="529" t="str">
        <f>IF(T!$A$4&gt;='[8]Podklady MZ'!H$2,'[8]Podklady MZ'!H12,"")</f>
        <v/>
      </c>
      <c r="I7" s="532" t="str">
        <f>IF(T!$A$4&gt;='[8]Podklady MZ'!I$2,'[8]Podklady MZ'!I12,"")</f>
        <v/>
      </c>
      <c r="J7" s="529" t="str">
        <f>IF(T!$A$4&gt;='[8]Podklady MZ'!J$2,'[8]Podklady MZ'!J12,"")</f>
        <v/>
      </c>
      <c r="K7" s="529" t="str">
        <f>IF(T!$A$4&gt;='[8]Podklady MZ'!K$2,'[8]Podklady MZ'!K12,"")</f>
        <v/>
      </c>
      <c r="L7" s="532" t="str">
        <f>IF(T!$A$4&gt;='[8]Podklady MZ'!L$2,'[8]Podklady MZ'!L12,"")</f>
        <v/>
      </c>
      <c r="M7" s="529" t="str">
        <f>IF(T!$A$4&gt;='[8]Podklady MZ'!M$2,'[8]Podklady MZ'!M12,"")</f>
        <v/>
      </c>
      <c r="N7" s="529" t="str">
        <f>IF(T!$A$4&gt;='[8]Podklady MZ'!N$2,'[8]Podklady MZ'!N12,"")</f>
        <v/>
      </c>
      <c r="O7" s="529" t="str">
        <f>IF(T!$A$4&gt;='[8]Podklady MZ'!O$2,'[8]Podklady MZ'!O12,"")</f>
        <v/>
      </c>
      <c r="P7" s="602">
        <f>SUM(D7:O7)</f>
        <v>2071.1475363577374</v>
      </c>
    </row>
    <row r="8" spans="1:17" ht="18" customHeight="1" x14ac:dyDescent="0.2">
      <c r="A8" s="1021"/>
      <c r="B8" s="571" t="str">
        <f>"spotřeba "&amp;$A$3</f>
        <v>spotřeba 2015</v>
      </c>
      <c r="C8" s="573" t="s">
        <v>398</v>
      </c>
      <c r="D8" s="530">
        <f>IF(T!$A$4&gt;='[8]Podklady MZ'!D$2,'[8]Podklady MZ'!D13,)</f>
        <v>11492.757934199999</v>
      </c>
      <c r="E8" s="530">
        <f>IF(T!$A$4&gt;='[8]Podklady MZ'!E$2,'[8]Podklady MZ'!E13,"")</f>
        <v>10525.401338</v>
      </c>
      <c r="F8" s="531" t="str">
        <f>IF(T!$A$4&gt;='[8]Podklady MZ'!F$2,'[8]Podklady MZ'!F13,"")</f>
        <v/>
      </c>
      <c r="G8" s="530" t="str">
        <f>IF(T!$A$4&gt;='[8]Podklady MZ'!G$2,'[8]Podklady MZ'!G13,"")</f>
        <v/>
      </c>
      <c r="H8" s="529" t="str">
        <f>IF(T!$A$4&gt;='[8]Podklady MZ'!H$2,'[8]Podklady MZ'!H13,"")</f>
        <v/>
      </c>
      <c r="I8" s="532" t="str">
        <f>IF(T!$A$4&gt;='[8]Podklady MZ'!I$2,'[8]Podklady MZ'!I13,"")</f>
        <v/>
      </c>
      <c r="J8" s="529" t="str">
        <f>IF(T!$A$4&gt;='[8]Podklady MZ'!J$2,'[8]Podklady MZ'!J13,"")</f>
        <v/>
      </c>
      <c r="K8" s="529" t="str">
        <f>IF(T!$A$4&gt;='[8]Podklady MZ'!K$2,'[8]Podklady MZ'!K13,"")</f>
        <v/>
      </c>
      <c r="L8" s="532" t="str">
        <f>IF(T!$A$4&gt;='[8]Podklady MZ'!L$2,'[8]Podklady MZ'!L13,"")</f>
        <v/>
      </c>
      <c r="M8" s="529" t="str">
        <f>IF(T!$A$4&gt;='[8]Podklady MZ'!M$2,'[8]Podklady MZ'!M13,"")</f>
        <v/>
      </c>
      <c r="N8" s="529" t="str">
        <f>IF(T!$A$4&gt;='[8]Podklady MZ'!N$2,'[8]Podklady MZ'!N13,"")</f>
        <v/>
      </c>
      <c r="O8" s="529" t="str">
        <f>IF(T!$A$4&gt;='[8]Podklady MZ'!O$2,'[8]Podklady MZ'!O13,"")</f>
        <v/>
      </c>
      <c r="P8" s="602">
        <f t="shared" ref="P8:P18" si="0">SUM(D8:O8)</f>
        <v>22018.159272199999</v>
      </c>
    </row>
    <row r="9" spans="1:17" ht="18" customHeight="1" x14ac:dyDescent="0.2">
      <c r="A9" s="1021"/>
      <c r="B9" s="572" t="s">
        <v>252</v>
      </c>
      <c r="C9" s="574" t="s">
        <v>254</v>
      </c>
      <c r="D9" s="791">
        <f>IF(T!$A$4&gt;='[8]Podklady MZ'!D$2,'[8]Podklady MZ'!D14,)</f>
        <v>1.3175830293298696E-2</v>
      </c>
      <c r="E9" s="791">
        <f>IF(T!$A$4&gt;='[8]Podklady MZ'!E$2,'[8]Podklady MZ'!E14,"")</f>
        <v>0.10582116745661807</v>
      </c>
      <c r="F9" s="792" t="str">
        <f>IF(T!$A$4&gt;='[8]Podklady MZ'!F$2,'[8]Podklady MZ'!F14,"")</f>
        <v/>
      </c>
      <c r="G9" s="791" t="str">
        <f>IF(T!$A$4&gt;='[8]Podklady MZ'!G$2,'[8]Podklady MZ'!G14,"")</f>
        <v/>
      </c>
      <c r="H9" s="793" t="str">
        <f>IF(T!$A$4&gt;='[8]Podklady MZ'!H$2,'[8]Podklady MZ'!H14,"")</f>
        <v/>
      </c>
      <c r="I9" s="794" t="str">
        <f>IF(T!$A$4&gt;='[8]Podklady MZ'!I$2,'[8]Podklady MZ'!I14,"")</f>
        <v/>
      </c>
      <c r="J9" s="793" t="str">
        <f>IF(T!$A$4&gt;='[8]Podklady MZ'!J$2,'[8]Podklady MZ'!J14,"")</f>
        <v/>
      </c>
      <c r="K9" s="793" t="str">
        <f>IF(T!$A$4&gt;='[8]Podklady MZ'!K$2,'[8]Podklady MZ'!K14,"")</f>
        <v/>
      </c>
      <c r="L9" s="794" t="str">
        <f>IF(T!$A$4&gt;='[8]Podklady MZ'!L$2,'[8]Podklady MZ'!L14,"")</f>
        <v/>
      </c>
      <c r="M9" s="793" t="str">
        <f>IF(T!$A$4&gt;='[8]Podklady MZ'!M$2,'[8]Podklady MZ'!M14,"")</f>
        <v/>
      </c>
      <c r="N9" s="793" t="str">
        <f>IF(T!$A$4&gt;='[8]Podklady MZ'!N$2,'[8]Podklady MZ'!N14,"")</f>
        <v/>
      </c>
      <c r="O9" s="793" t="str">
        <f>IF(T!$A$4&gt;='[8]Podklady MZ'!O$2,'[8]Podklady MZ'!O14,"")</f>
        <v/>
      </c>
      <c r="P9" s="795">
        <f>(P7-P10)/P10</f>
        <v>5.5436516566974653E-2</v>
      </c>
    </row>
    <row r="10" spans="1:17" ht="18" customHeight="1" x14ac:dyDescent="0.2">
      <c r="A10" s="1021"/>
      <c r="B10" s="100" t="str">
        <f>"spotřeba "&amp;$A$3-1</f>
        <v>spotřeba 2014</v>
      </c>
      <c r="C10" s="575" t="s">
        <v>253</v>
      </c>
      <c r="D10" s="533">
        <f>IF(T!$A$4&gt;='[8]Podklady MZ'!D$2,'[8]Podklady MZ'!D15,)</f>
        <v>1067.2191463523316</v>
      </c>
      <c r="E10" s="533">
        <f>IF(T!$A$4&gt;='[8]Podklady MZ'!E$2,'[8]Podklady MZ'!E15,"")</f>
        <v>895.14192780736551</v>
      </c>
      <c r="F10" s="534" t="str">
        <f>IF(T!$A$4&gt;='[8]Podklady MZ'!F$2,'[8]Podklady MZ'!F15,"")</f>
        <v/>
      </c>
      <c r="G10" s="533" t="str">
        <f>IF(T!$A$4&gt;='[8]Podklady MZ'!G$2,'[8]Podklady MZ'!G15,"")</f>
        <v/>
      </c>
      <c r="H10" s="535" t="str">
        <f>IF(T!$A$4&gt;='[8]Podklady MZ'!H$2,'[8]Podklady MZ'!H15,"")</f>
        <v/>
      </c>
      <c r="I10" s="536" t="str">
        <f>IF(T!$A$4&gt;='[8]Podklady MZ'!I$2,'[8]Podklady MZ'!I15,"")</f>
        <v/>
      </c>
      <c r="J10" s="535" t="str">
        <f>IF(T!$A$4&gt;='[8]Podklady MZ'!J$2,'[8]Podklady MZ'!J15,"")</f>
        <v/>
      </c>
      <c r="K10" s="535" t="str">
        <f>IF(T!$A$4&gt;='[8]Podklady MZ'!K$2,'[8]Podklady MZ'!K15,"")</f>
        <v/>
      </c>
      <c r="L10" s="536" t="str">
        <f>IF(T!$A$4&gt;='[8]Podklady MZ'!L$2,'[8]Podklady MZ'!L15,"")</f>
        <v/>
      </c>
      <c r="M10" s="535" t="str">
        <f>IF(T!$A$4&gt;='[8]Podklady MZ'!M$2,'[8]Podklady MZ'!M15,"")</f>
        <v/>
      </c>
      <c r="N10" s="535" t="str">
        <f>IF(T!$A$4&gt;='[8]Podklady MZ'!N$2,'[8]Podklady MZ'!N15,"")</f>
        <v/>
      </c>
      <c r="O10" s="535" t="str">
        <f>IF(T!$A$4&gt;='[8]Podklady MZ'!O$2,'[8]Podklady MZ'!O15,"")</f>
        <v/>
      </c>
      <c r="P10" s="597">
        <f t="shared" si="0"/>
        <v>1962.3610741596972</v>
      </c>
    </row>
    <row r="11" spans="1:17" ht="18" customHeight="1" x14ac:dyDescent="0.2">
      <c r="A11" s="1021"/>
      <c r="B11" s="100" t="str">
        <f>"spotřeba "&amp;$A$3-1</f>
        <v>spotřeba 2014</v>
      </c>
      <c r="C11" s="575" t="s">
        <v>398</v>
      </c>
      <c r="D11" s="533">
        <f>IF(T!$A$4&gt;='[8]Podklady MZ'!D$2,'[8]Podklady MZ'!D16,)</f>
        <v>11367.914916170237</v>
      </c>
      <c r="E11" s="533">
        <f>IF(T!$A$4&gt;='[8]Podklady MZ'!E$2,'[8]Podklady MZ'!E16,"")</f>
        <v>9518.248077734268</v>
      </c>
      <c r="F11" s="534" t="str">
        <f>IF(T!$A$4&gt;='[8]Podklady MZ'!F$2,'[8]Podklady MZ'!F16,"")</f>
        <v/>
      </c>
      <c r="G11" s="533" t="str">
        <f>IF(T!$A$4&gt;='[8]Podklady MZ'!G$2,'[8]Podklady MZ'!G16,"")</f>
        <v/>
      </c>
      <c r="H11" s="535" t="str">
        <f>IF(T!$A$4&gt;='[8]Podklady MZ'!H$2,'[8]Podklady MZ'!H16,"")</f>
        <v/>
      </c>
      <c r="I11" s="536" t="str">
        <f>IF(T!$A$4&gt;='[8]Podklady MZ'!I$2,'[8]Podklady MZ'!I16,"")</f>
        <v/>
      </c>
      <c r="J11" s="535" t="str">
        <f>IF(T!$A$4&gt;='[8]Podklady MZ'!J$2,'[8]Podklady MZ'!J16,"")</f>
        <v/>
      </c>
      <c r="K11" s="535" t="str">
        <f>IF(T!$A$4&gt;='[8]Podklady MZ'!K$2,'[8]Podklady MZ'!K16,"")</f>
        <v/>
      </c>
      <c r="L11" s="536" t="str">
        <f>IF(T!$A$4&gt;='[8]Podklady MZ'!L$2,'[8]Podklady MZ'!L16,"")</f>
        <v/>
      </c>
      <c r="M11" s="535" t="str">
        <f>IF(T!$A$4&gt;='[8]Podklady MZ'!M$2,'[8]Podklady MZ'!M16,"")</f>
        <v/>
      </c>
      <c r="N11" s="535" t="str">
        <f>IF(T!$A$4&gt;='[8]Podklady MZ'!N$2,'[8]Podklady MZ'!N16,"")</f>
        <v/>
      </c>
      <c r="O11" s="535" t="str">
        <f>IF(T!$A$4&gt;='[8]Podklady MZ'!O$2,'[8]Podklady MZ'!O16,"")</f>
        <v/>
      </c>
      <c r="P11" s="597">
        <f t="shared" si="0"/>
        <v>20886.162993904505</v>
      </c>
    </row>
    <row r="12" spans="1:17" ht="9.9499999999999993" customHeight="1" x14ac:dyDescent="0.2">
      <c r="A12" s="1022"/>
      <c r="B12" s="518"/>
      <c r="C12" s="538"/>
      <c r="D12" s="539"/>
      <c r="E12" s="539"/>
      <c r="F12" s="540"/>
      <c r="G12" s="539"/>
      <c r="H12" s="541"/>
      <c r="I12" s="542"/>
      <c r="J12" s="541"/>
      <c r="K12" s="541"/>
      <c r="L12" s="542"/>
      <c r="M12" s="541"/>
      <c r="N12" s="541"/>
      <c r="O12" s="541"/>
      <c r="P12" s="598"/>
    </row>
    <row r="13" spans="1:17" ht="9.9499999999999993" customHeight="1" x14ac:dyDescent="0.2">
      <c r="A13" s="1025" t="s">
        <v>257</v>
      </c>
      <c r="B13" s="519"/>
      <c r="C13" s="543"/>
      <c r="D13" s="533"/>
      <c r="E13" s="533"/>
      <c r="F13" s="534"/>
      <c r="G13" s="533"/>
      <c r="H13" s="535"/>
      <c r="I13" s="536"/>
      <c r="J13" s="535"/>
      <c r="K13" s="535"/>
      <c r="L13" s="536"/>
      <c r="M13" s="535"/>
      <c r="N13" s="535"/>
      <c r="O13" s="535"/>
      <c r="P13" s="597"/>
    </row>
    <row r="14" spans="1:17" ht="18" customHeight="1" x14ac:dyDescent="0.2">
      <c r="A14" s="1021"/>
      <c r="B14" s="571" t="str">
        <f>"spotřeba "&amp;$A$3</f>
        <v>spotřeba 2015</v>
      </c>
      <c r="C14" s="573" t="s">
        <v>253</v>
      </c>
      <c r="D14" s="529">
        <f>IF(T!$A$4&gt;='[8]Podklady MZ'!D$2,'[8]Podklady MZ'!D19,"")</f>
        <v>1162.3827182199684</v>
      </c>
      <c r="E14" s="530">
        <f>IF(T!$A$4&gt;='[8]Podklady MZ'!E$2,'[8]Podklady MZ'!E19,"")</f>
        <v>1022.8621044614633</v>
      </c>
      <c r="F14" s="531" t="str">
        <f>IF(T!$A$4&gt;='[8]Podklady MZ'!F$2,'[8]Podklady MZ'!F19,"")</f>
        <v/>
      </c>
      <c r="G14" s="530" t="str">
        <f>IF(T!$A$4&gt;='[8]Podklady MZ'!G$2,'[8]Podklady MZ'!G19,"")</f>
        <v/>
      </c>
      <c r="H14" s="529" t="str">
        <f>IF(T!$A$4&gt;='[8]Podklady MZ'!H$2,'[8]Podklady MZ'!H19,"")</f>
        <v/>
      </c>
      <c r="I14" s="532" t="str">
        <f>IF(T!$A$4&gt;='[8]Podklady MZ'!I$2,'[8]Podklady MZ'!I19,"")</f>
        <v/>
      </c>
      <c r="J14" s="529" t="str">
        <f>IF(T!$A$4&gt;='[8]Podklady MZ'!J$2,'[8]Podklady MZ'!J19,"")</f>
        <v/>
      </c>
      <c r="K14" s="529" t="str">
        <f>IF(T!$A$4&gt;='[8]Podklady MZ'!K$2,'[8]Podklady MZ'!K19,"")</f>
        <v/>
      </c>
      <c r="L14" s="532" t="str">
        <f>IF(T!$A$4&gt;='[8]Podklady MZ'!L$2,'[8]Podklady MZ'!L19,"")</f>
        <v/>
      </c>
      <c r="M14" s="529" t="str">
        <f>IF(T!$A$4&gt;='[8]Podklady MZ'!M$2,'[8]Podklady MZ'!M19,"")</f>
        <v/>
      </c>
      <c r="N14" s="529" t="str">
        <f>IF(T!$A$4&gt;='[8]Podklady MZ'!N$2,'[8]Podklady MZ'!N19,"")</f>
        <v/>
      </c>
      <c r="O14" s="529" t="str">
        <f>IF(T!$A$4&gt;='[8]Podklady MZ'!O$2,'[8]Podklady MZ'!O19,"")</f>
        <v/>
      </c>
      <c r="P14" s="602">
        <f t="shared" si="0"/>
        <v>2185.2448226814317</v>
      </c>
    </row>
    <row r="15" spans="1:17" ht="18" customHeight="1" x14ac:dyDescent="0.2">
      <c r="A15" s="1021"/>
      <c r="B15" s="571" t="str">
        <f>"spotřeba "&amp;$A$3</f>
        <v>spotřeba 2015</v>
      </c>
      <c r="C15" s="573" t="s">
        <v>398</v>
      </c>
      <c r="D15" s="530">
        <f>IF(T!$A$4&gt;='[8]Podklady MZ'!D$2,'[8]Podklady MZ'!D20,"")</f>
        <v>12354.778819681072</v>
      </c>
      <c r="E15" s="530">
        <f>IF(T!$A$4&gt;='[8]Podklady MZ'!E$2,'[8]Podklady MZ'!E20,"")</f>
        <v>10876.244325104813</v>
      </c>
      <c r="F15" s="531" t="str">
        <f>IF(T!$A$4&gt;='[8]Podklady MZ'!F$2,'[8]Podklady MZ'!F20,"")</f>
        <v/>
      </c>
      <c r="G15" s="530" t="str">
        <f>IF(T!$A$4&gt;='[8]Podklady MZ'!G$2,'[8]Podklady MZ'!G20,"")</f>
        <v/>
      </c>
      <c r="H15" s="529" t="str">
        <f>IF(T!$A$4&gt;='[8]Podklady MZ'!H$2,'[8]Podklady MZ'!H20,"")</f>
        <v/>
      </c>
      <c r="I15" s="532" t="str">
        <f>IF(T!$A$4&gt;='[8]Podklady MZ'!I$2,'[8]Podklady MZ'!I20,"")</f>
        <v/>
      </c>
      <c r="J15" s="529" t="str">
        <f>IF(T!$A$4&gt;='[8]Podklady MZ'!J$2,'[8]Podklady MZ'!J20,"")</f>
        <v/>
      </c>
      <c r="K15" s="529" t="str">
        <f>IF(T!$A$4&gt;='[8]Podklady MZ'!K$2,'[8]Podklady MZ'!K20,"")</f>
        <v/>
      </c>
      <c r="L15" s="532" t="str">
        <f>IF(T!$A$4&gt;='[8]Podklady MZ'!L$2,'[8]Podklady MZ'!L20,"")</f>
        <v/>
      </c>
      <c r="M15" s="529" t="str">
        <f>IF(T!$A$4&gt;='[8]Podklady MZ'!M$2,'[8]Podklady MZ'!M20,"")</f>
        <v/>
      </c>
      <c r="N15" s="529" t="str">
        <f>IF(T!$A$4&gt;='[8]Podklady MZ'!N$2,'[8]Podklady MZ'!N20,"")</f>
        <v/>
      </c>
      <c r="O15" s="529" t="str">
        <f>IF(T!$A$4&gt;='[8]Podklady MZ'!O$2,'[8]Podklady MZ'!O20,"")</f>
        <v/>
      </c>
      <c r="P15" s="602">
        <f t="shared" si="0"/>
        <v>23231.023144785886</v>
      </c>
    </row>
    <row r="16" spans="1:17" ht="18" customHeight="1" x14ac:dyDescent="0.2">
      <c r="A16" s="1021"/>
      <c r="B16" s="572" t="s">
        <v>252</v>
      </c>
      <c r="C16" s="574" t="s">
        <v>254</v>
      </c>
      <c r="D16" s="791">
        <f>IF(T!$A$4&gt;='[8]Podklady MZ'!D$2,'[8]Podklady MZ'!D21,"")</f>
        <v>-2.2563307146523652E-2</v>
      </c>
      <c r="E16" s="791">
        <f>IF(T!$A$4&gt;='[8]Podklady MZ'!E$2,'[8]Podklady MZ'!E21,"")</f>
        <v>-2.2117681991601066E-3</v>
      </c>
      <c r="F16" s="792" t="str">
        <f>IF(T!$A$4&gt;='[8]Podklady MZ'!F$2,'[8]Podklady MZ'!F21,"")</f>
        <v/>
      </c>
      <c r="G16" s="791" t="str">
        <f>IF(T!$A$4&gt;='[8]Podklady MZ'!G$2,'[8]Podklady MZ'!G21,"")</f>
        <v/>
      </c>
      <c r="H16" s="793" t="str">
        <f>IF(T!$A$4&gt;='[8]Podklady MZ'!H$2,'[8]Podklady MZ'!H21,"")</f>
        <v/>
      </c>
      <c r="I16" s="794" t="str">
        <f>IF(T!$A$4&gt;='[8]Podklady MZ'!I$2,'[8]Podklady MZ'!I21,"")</f>
        <v/>
      </c>
      <c r="J16" s="793" t="str">
        <f>IF(T!$A$4&gt;='[8]Podklady MZ'!J$2,'[8]Podklady MZ'!J21,"")</f>
        <v/>
      </c>
      <c r="K16" s="793" t="str">
        <f>IF(T!$A$4&gt;='[8]Podklady MZ'!K$2,'[8]Podklady MZ'!K21,"")</f>
        <v/>
      </c>
      <c r="L16" s="794" t="str">
        <f>IF(T!$A$4&gt;='[8]Podklady MZ'!L$2,'[8]Podklady MZ'!L21,"")</f>
        <v/>
      </c>
      <c r="M16" s="793" t="str">
        <f>IF(T!$A$4&gt;='[8]Podklady MZ'!M$2,'[8]Podklady MZ'!M21,"")</f>
        <v/>
      </c>
      <c r="N16" s="793" t="str">
        <f>IF(T!$A$4&gt;='[8]Podklady MZ'!N$2,'[8]Podklady MZ'!N21,"")</f>
        <v/>
      </c>
      <c r="O16" s="793" t="str">
        <f>IF(T!$A$4&gt;='[8]Podklady MZ'!O$2,'[8]Podklady MZ'!O21,"")</f>
        <v/>
      </c>
      <c r="P16" s="795">
        <f>(P14-P17)/P17</f>
        <v>-1.3141575730474036E-2</v>
      </c>
    </row>
    <row r="17" spans="1:16" ht="18" customHeight="1" x14ac:dyDescent="0.2">
      <c r="A17" s="1021"/>
      <c r="B17" s="100" t="str">
        <f>"spotřeba "&amp;$A$3-1</f>
        <v>spotřeba 2014</v>
      </c>
      <c r="C17" s="575" t="s">
        <v>253</v>
      </c>
      <c r="D17" s="533">
        <f>IF(T!$A$4&gt;='[8]Podklady MZ'!D$2,'[8]Podklady MZ'!D22,"")</f>
        <v>1189.2153494121144</v>
      </c>
      <c r="E17" s="533">
        <f>IF(T!$A$4&gt;='[8]Podklady MZ'!E$2,'[8]Podklady MZ'!E22,"")</f>
        <v>1025.1294531860426</v>
      </c>
      <c r="F17" s="534" t="str">
        <f>IF(T!$A$4&gt;='[8]Podklady MZ'!F$2,'[8]Podklady MZ'!F22,"")</f>
        <v/>
      </c>
      <c r="G17" s="533" t="str">
        <f>IF(T!$A$4&gt;='[8]Podklady MZ'!G$2,'[8]Podklady MZ'!G22,"")</f>
        <v/>
      </c>
      <c r="H17" s="535" t="str">
        <f>IF(T!$A$4&gt;='[8]Podklady MZ'!H$2,'[8]Podklady MZ'!H22,"")</f>
        <v/>
      </c>
      <c r="I17" s="536" t="str">
        <f>IF(T!$A$4&gt;='[8]Podklady MZ'!I$2,'[8]Podklady MZ'!I22,"")</f>
        <v/>
      </c>
      <c r="J17" s="535" t="str">
        <f>IF(T!$A$4&gt;='[8]Podklady MZ'!J$2,'[8]Podklady MZ'!J22,"")</f>
        <v/>
      </c>
      <c r="K17" s="535" t="str">
        <f>IF(T!$A$4&gt;='[8]Podklady MZ'!K$2,'[8]Podklady MZ'!K22,"")</f>
        <v/>
      </c>
      <c r="L17" s="536" t="str">
        <f>IF(T!$A$4&gt;='[8]Podklady MZ'!L$2,'[8]Podklady MZ'!L22,"")</f>
        <v/>
      </c>
      <c r="M17" s="535" t="str">
        <f>IF(T!$A$4&gt;='[8]Podklady MZ'!M$2,'[8]Podklady MZ'!M22,"")</f>
        <v/>
      </c>
      <c r="N17" s="535" t="str">
        <f>IF(T!$A$4&gt;='[8]Podklady MZ'!N$2,'[8]Podklady MZ'!N22,"")</f>
        <v/>
      </c>
      <c r="O17" s="535" t="str">
        <f>IF(T!$A$4&gt;='[8]Podklady MZ'!O$2,'[8]Podklady MZ'!O22,"")</f>
        <v/>
      </c>
      <c r="P17" s="597">
        <f t="shared" si="0"/>
        <v>2214.344802598157</v>
      </c>
    </row>
    <row r="18" spans="1:16" ht="18" customHeight="1" x14ac:dyDescent="0.2">
      <c r="A18" s="1021"/>
      <c r="B18" s="100" t="str">
        <f>"spotřeba "&amp;$A$3-1</f>
        <v>spotřeba 2014</v>
      </c>
      <c r="C18" s="575" t="s">
        <v>398</v>
      </c>
      <c r="D18" s="533">
        <f>IF(T!$A$4&gt;='[8]Podklady MZ'!D$2,'[8]Podklady MZ'!D23,"")</f>
        <v>12667.408926479648</v>
      </c>
      <c r="E18" s="533">
        <f>IF(T!$A$4&gt;='[8]Podklady MZ'!E$2,'[8]Podklady MZ'!E23,"")</f>
        <v>10900.431104724707</v>
      </c>
      <c r="F18" s="534" t="str">
        <f>IF(T!$A$4&gt;='[8]Podklady MZ'!F$2,'[8]Podklady MZ'!F23,"")</f>
        <v/>
      </c>
      <c r="G18" s="533" t="str">
        <f>IF(T!$A$4&gt;='[8]Podklady MZ'!G$2,'[8]Podklady MZ'!G23,"")</f>
        <v/>
      </c>
      <c r="H18" s="535" t="str">
        <f>IF(T!$A$4&gt;='[8]Podklady MZ'!H$2,'[8]Podklady MZ'!H23,"")</f>
        <v/>
      </c>
      <c r="I18" s="536" t="str">
        <f>IF(T!$A$4&gt;='[8]Podklady MZ'!I$2,'[8]Podklady MZ'!I23,"")</f>
        <v/>
      </c>
      <c r="J18" s="535" t="str">
        <f>IF(T!$A$4&gt;='[8]Podklady MZ'!J$2,'[8]Podklady MZ'!J23,"")</f>
        <v/>
      </c>
      <c r="K18" s="535" t="str">
        <f>IF(T!$A$4&gt;='[8]Podklady MZ'!K$2,'[8]Podklady MZ'!K23,"")</f>
        <v/>
      </c>
      <c r="L18" s="536" t="str">
        <f>IF(T!$A$4&gt;='[8]Podklady MZ'!L$2,'[8]Podklady MZ'!L23,"")</f>
        <v/>
      </c>
      <c r="M18" s="535" t="str">
        <f>IF(T!$A$4&gt;='[8]Podklady MZ'!M$2,'[8]Podklady MZ'!M23,"")</f>
        <v/>
      </c>
      <c r="N18" s="535" t="str">
        <f>IF(T!$A$4&gt;='[8]Podklady MZ'!N$2,'[8]Podklady MZ'!N23,"")</f>
        <v/>
      </c>
      <c r="O18" s="535" t="str">
        <f>IF(T!$A$4&gt;='[8]Podklady MZ'!O$2,'[8]Podklady MZ'!O23,"")</f>
        <v/>
      </c>
      <c r="P18" s="597">
        <f t="shared" si="0"/>
        <v>23567.840031204352</v>
      </c>
    </row>
    <row r="19" spans="1:16" ht="9.9499999999999993" customHeight="1" x14ac:dyDescent="0.2">
      <c r="A19" s="1022"/>
      <c r="B19" s="518"/>
      <c r="C19" s="538"/>
      <c r="D19" s="539"/>
      <c r="E19" s="539"/>
      <c r="F19" s="540"/>
      <c r="G19" s="539"/>
      <c r="H19" s="541"/>
      <c r="I19" s="542"/>
      <c r="J19" s="541"/>
      <c r="K19" s="541"/>
      <c r="L19" s="542"/>
      <c r="M19" s="541"/>
      <c r="N19" s="541"/>
      <c r="O19" s="541"/>
      <c r="P19" s="598"/>
    </row>
    <row r="20" spans="1:16" ht="9.9499999999999993" customHeight="1" x14ac:dyDescent="0.2">
      <c r="A20" s="506"/>
      <c r="B20" s="520"/>
      <c r="C20" s="544"/>
      <c r="D20" s="545"/>
      <c r="E20" s="545"/>
      <c r="F20" s="545"/>
      <c r="G20" s="546"/>
      <c r="H20" s="547"/>
      <c r="I20" s="548"/>
      <c r="J20" s="547"/>
      <c r="K20" s="547"/>
      <c r="L20" s="547"/>
      <c r="M20" s="549"/>
      <c r="N20" s="547"/>
      <c r="O20" s="547"/>
      <c r="P20" s="597"/>
    </row>
    <row r="21" spans="1:16" ht="18" customHeight="1" x14ac:dyDescent="0.2">
      <c r="A21" s="1021" t="str">
        <f>"Denní 
skutečná spotřeba 
zemního plynu 
"&amp;$A$3</f>
        <v>Denní 
skutečná spotřeba 
zemního plynu 
2015</v>
      </c>
      <c r="B21" s="100" t="str">
        <f>"max. spotřeba "&amp;$A$3</f>
        <v>max. spotřeba 2015</v>
      </c>
      <c r="C21" s="575" t="s">
        <v>253</v>
      </c>
      <c r="D21" s="799">
        <f>IF(T!$A$4&gt;='[8]Podklady MZ'!D$2,'[8]Podklady MZ'!D26,"")</f>
        <v>41.345389040398715</v>
      </c>
      <c r="E21" s="799">
        <f>IF(T!$A$4&gt;='[8]Podklady MZ'!E$2,'[8]Podklady MZ'!E26,"")</f>
        <v>42.621557004484409</v>
      </c>
      <c r="F21" s="799" t="str">
        <f>IF(T!$A$4&gt;='[8]Podklady MZ'!F$2,'[8]Podklady MZ'!F26,"")</f>
        <v/>
      </c>
      <c r="G21" s="800" t="str">
        <f>IF(T!$A$4&gt;='[8]Podklady MZ'!G$2,'[8]Podklady MZ'!G26,"")</f>
        <v/>
      </c>
      <c r="H21" s="801" t="str">
        <f>IF(T!$A$4&gt;='[8]Podklady MZ'!H$2,'[8]Podklady MZ'!H26,"")</f>
        <v/>
      </c>
      <c r="I21" s="802" t="str">
        <f>IF(T!$A$4&gt;='[8]Podklady MZ'!I$2,'[8]Podklady MZ'!I26,"")</f>
        <v/>
      </c>
      <c r="J21" s="801" t="str">
        <f>IF(T!$A$4&gt;='[8]Podklady MZ'!J$2,'[8]Podklady MZ'!J26,"")</f>
        <v/>
      </c>
      <c r="K21" s="801" t="str">
        <f>IF(T!$A$4&gt;='[8]Podklady MZ'!K$2,'[8]Podklady MZ'!K26,"")</f>
        <v/>
      </c>
      <c r="L21" s="801" t="str">
        <f>IF(T!$A$4&gt;='[8]Podklady MZ'!L$2,'[8]Podklady MZ'!L26,"")</f>
        <v/>
      </c>
      <c r="M21" s="803" t="str">
        <f>IF(T!$A$4&gt;='[8]Podklady MZ'!M$2,'[8]Podklady MZ'!M26,"")</f>
        <v/>
      </c>
      <c r="N21" s="801" t="str">
        <f>IF(T!$A$4&gt;='[8]Podklady MZ'!N$2,'[8]Podklady MZ'!N26,"")</f>
        <v/>
      </c>
      <c r="O21" s="801" t="str">
        <f>IF(T!$A$4&gt;='[8]Podklady MZ'!O$2,'[8]Podklady MZ'!O26,"")</f>
        <v/>
      </c>
      <c r="P21" s="808" t="str">
        <f>IF(T!$A$4&gt;='[8]Podklady MZ'!P$2,'[8]Podklady MZ'!P26,"")</f>
        <v/>
      </c>
    </row>
    <row r="22" spans="1:16" ht="18" customHeight="1" x14ac:dyDescent="0.2">
      <c r="A22" s="1021"/>
      <c r="B22" s="100" t="str">
        <f>"max. spotřeba "&amp;$A$3</f>
        <v>max. spotřeba 2015</v>
      </c>
      <c r="C22" s="575" t="s">
        <v>398</v>
      </c>
      <c r="D22" s="799">
        <f>IF(T!$A$4&gt;='[8]Podklady MZ'!D$2,'[8]Podklady MZ'!D27,"")</f>
        <v>439.44407081290325</v>
      </c>
      <c r="E22" s="799">
        <f>IF(T!$A$4&gt;='[8]Podklady MZ'!E$2,'[8]Podklady MZ'!E27,"")</f>
        <v>453.14177378571429</v>
      </c>
      <c r="F22" s="799" t="str">
        <f>IF(T!$A$4&gt;='[8]Podklady MZ'!F$2,'[8]Podklady MZ'!F27,"")</f>
        <v/>
      </c>
      <c r="G22" s="800" t="str">
        <f>IF(T!$A$4&gt;='[8]Podklady MZ'!G$2,'[8]Podklady MZ'!G27,"")</f>
        <v/>
      </c>
      <c r="H22" s="801" t="str">
        <f>IF(T!$A$4&gt;='[8]Podklady MZ'!H$2,'[8]Podklady MZ'!H27,"")</f>
        <v/>
      </c>
      <c r="I22" s="802" t="str">
        <f>IF(T!$A$4&gt;='[8]Podklady MZ'!I$2,'[8]Podklady MZ'!I27,"")</f>
        <v/>
      </c>
      <c r="J22" s="801" t="str">
        <f>IF(T!$A$4&gt;='[8]Podklady MZ'!J$2,'[8]Podklady MZ'!J27,"")</f>
        <v/>
      </c>
      <c r="K22" s="801" t="str">
        <f>IF(T!$A$4&gt;='[8]Podklady MZ'!K$2,'[8]Podklady MZ'!K27,"")</f>
        <v/>
      </c>
      <c r="L22" s="801" t="str">
        <f>IF(T!$A$4&gt;='[8]Podklady MZ'!L$2,'[8]Podklady MZ'!L27,"")</f>
        <v/>
      </c>
      <c r="M22" s="803" t="str">
        <f>IF(T!$A$4&gt;='[8]Podklady MZ'!M$2,'[8]Podklady MZ'!M27,"")</f>
        <v/>
      </c>
      <c r="N22" s="801" t="str">
        <f>IF(T!$A$4&gt;='[8]Podklady MZ'!N$2,'[8]Podklady MZ'!N27,"")</f>
        <v/>
      </c>
      <c r="O22" s="801" t="str">
        <f>IF(T!$A$4&gt;='[8]Podklady MZ'!O$2,'[8]Podklady MZ'!O27,"")</f>
        <v/>
      </c>
      <c r="P22" s="808" t="str">
        <f>IF(T!$A$4&gt;='[8]Podklady MZ'!P$2,'[8]Podklady MZ'!P27,"")</f>
        <v/>
      </c>
    </row>
    <row r="23" spans="1:16" ht="18" customHeight="1" x14ac:dyDescent="0.2">
      <c r="A23" s="1021"/>
      <c r="B23" s="582" t="s">
        <v>42</v>
      </c>
      <c r="C23" s="580" t="s">
        <v>255</v>
      </c>
      <c r="D23" s="554">
        <f>IF(T!$A$4&gt;='[8]Podklady MZ'!D$2,'[8]Podklady MZ'!D28,"")</f>
        <v>-3.6</v>
      </c>
      <c r="E23" s="554">
        <f>IF(T!$A$4&gt;='[8]Podklady MZ'!E$2,'[8]Podklady MZ'!E28,"")</f>
        <v>-3.4</v>
      </c>
      <c r="F23" s="554" t="str">
        <f>IF(T!$A$4&gt;='[8]Podklady MZ'!F$2,'[8]Podklady MZ'!F28,"")</f>
        <v/>
      </c>
      <c r="G23" s="555" t="str">
        <f>IF(T!$A$4&gt;='[8]Podklady MZ'!G$2,'[8]Podklady MZ'!G28,"")</f>
        <v/>
      </c>
      <c r="H23" s="556" t="str">
        <f>IF(T!$A$4&gt;='[8]Podklady MZ'!H$2,'[8]Podklady MZ'!H28,"")</f>
        <v/>
      </c>
      <c r="I23" s="557" t="str">
        <f>IF(T!$A$4&gt;='[8]Podklady MZ'!I$2,'[8]Podklady MZ'!I28,"")</f>
        <v/>
      </c>
      <c r="J23" s="556" t="str">
        <f>IF(T!$A$4&gt;='[8]Podklady MZ'!J$2,'[8]Podklady MZ'!J28,"")</f>
        <v/>
      </c>
      <c r="K23" s="556" t="str">
        <f>IF(T!$A$4&gt;='[8]Podklady MZ'!K$2,'[8]Podklady MZ'!K28,"")</f>
        <v/>
      </c>
      <c r="L23" s="556" t="str">
        <f>IF(T!$A$4&gt;='[8]Podklady MZ'!L$2,'[8]Podklady MZ'!L28,"")</f>
        <v/>
      </c>
      <c r="M23" s="11" t="str">
        <f>IF(T!$A$4&gt;='[8]Podklady MZ'!M$2,'[8]Podklady MZ'!M28,"")</f>
        <v/>
      </c>
      <c r="N23" s="556" t="str">
        <f>IF(T!$A$4&gt;='[8]Podklady MZ'!N$2,'[8]Podklady MZ'!N28,"")</f>
        <v/>
      </c>
      <c r="O23" s="556" t="str">
        <f>IF(T!$A$4&gt;='[8]Podklady MZ'!O$2,'[8]Podklady MZ'!O28,"")</f>
        <v/>
      </c>
      <c r="P23" s="598" t="str">
        <f>IF(T!$A$4&gt;='[8]Podklady MZ'!P$2,'[8]Podklady MZ'!P28,"")</f>
        <v/>
      </c>
    </row>
    <row r="24" spans="1:16" ht="18" customHeight="1" x14ac:dyDescent="0.2">
      <c r="A24" s="1021"/>
      <c r="B24" s="100" t="str">
        <f>"min. spotřeba "&amp;$A$3</f>
        <v>min. spotřeba 2015</v>
      </c>
      <c r="C24" s="575" t="s">
        <v>253</v>
      </c>
      <c r="D24" s="799">
        <f>IF(T!$A$4&gt;='[8]Podklady MZ'!D$2,'[8]Podklady MZ'!D29,"")</f>
        <v>26.684387110760138</v>
      </c>
      <c r="E24" s="799">
        <f>IF(T!$A$4&gt;='[8]Podklady MZ'!E$2,'[8]Podklady MZ'!E29,"")</f>
        <v>29.662131335351482</v>
      </c>
      <c r="F24" s="799" t="str">
        <f>IF(T!$A$4&gt;='[8]Podklady MZ'!F$2,'[8]Podklady MZ'!F29,"")</f>
        <v/>
      </c>
      <c r="G24" s="800" t="str">
        <f>IF(T!$A$4&gt;='[8]Podklady MZ'!G$2,'[8]Podklady MZ'!G29,"")</f>
        <v/>
      </c>
      <c r="H24" s="801" t="str">
        <f>IF(T!$A$4&gt;='[8]Podklady MZ'!H$2,'[8]Podklady MZ'!H29,"")</f>
        <v/>
      </c>
      <c r="I24" s="802" t="str">
        <f>IF(T!$A$4&gt;='[8]Podklady MZ'!I$2,'[8]Podklady MZ'!I29,"")</f>
        <v/>
      </c>
      <c r="J24" s="801" t="str">
        <f>IF(T!$A$4&gt;='[8]Podklady MZ'!J$2,'[8]Podklady MZ'!J29,"")</f>
        <v/>
      </c>
      <c r="K24" s="801" t="str">
        <f>IF(T!$A$4&gt;='[8]Podklady MZ'!K$2,'[8]Podklady MZ'!K29,"")</f>
        <v/>
      </c>
      <c r="L24" s="801" t="str">
        <f>IF(T!$A$4&gt;='[8]Podklady MZ'!L$2,'[8]Podklady MZ'!L29,"")</f>
        <v/>
      </c>
      <c r="M24" s="803" t="str">
        <f>IF(T!$A$4&gt;='[8]Podklady MZ'!M$2,'[8]Podklady MZ'!M29,"")</f>
        <v/>
      </c>
      <c r="N24" s="801" t="str">
        <f>IF(T!$A$4&gt;='[8]Podklady MZ'!N$2,'[8]Podklady MZ'!N29,"")</f>
        <v/>
      </c>
      <c r="O24" s="801" t="str">
        <f>IF(T!$A$4&gt;='[8]Podklady MZ'!O$2,'[8]Podklady MZ'!O29,"")</f>
        <v/>
      </c>
      <c r="P24" s="808" t="str">
        <f>IF(T!$A$4&gt;='[8]Podklady MZ'!P$2,'[8]Podklady MZ'!P29,"")</f>
        <v/>
      </c>
    </row>
    <row r="25" spans="1:16" ht="18" customHeight="1" x14ac:dyDescent="0.2">
      <c r="A25" s="1021"/>
      <c r="B25" s="100" t="str">
        <f>"min. spotřeba "&amp;$A$3</f>
        <v>min. spotřeba 2015</v>
      </c>
      <c r="C25" s="575" t="s">
        <v>398</v>
      </c>
      <c r="D25" s="799">
        <f>IF(T!$A$4&gt;='[8]Podklady MZ'!D$2,'[8]Podklady MZ'!D30,"")</f>
        <v>283.65752081290321</v>
      </c>
      <c r="E25" s="799">
        <f>IF(T!$A$4&gt;='[8]Podklady MZ'!E$2,'[8]Podklady MZ'!E30,"")</f>
        <v>315.42335078571426</v>
      </c>
      <c r="F25" s="799" t="str">
        <f>IF(T!$A$4&gt;='[8]Podklady MZ'!F$2,'[8]Podklady MZ'!F30,"")</f>
        <v/>
      </c>
      <c r="G25" s="800" t="str">
        <f>IF(T!$A$4&gt;='[8]Podklady MZ'!G$2,'[8]Podklady MZ'!G30,"")</f>
        <v/>
      </c>
      <c r="H25" s="801" t="str">
        <f>IF(T!$A$4&gt;='[8]Podklady MZ'!H$2,'[8]Podklady MZ'!H30,"")</f>
        <v/>
      </c>
      <c r="I25" s="802" t="str">
        <f>IF(T!$A$4&gt;='[8]Podklady MZ'!I$2,'[8]Podklady MZ'!I30,"")</f>
        <v/>
      </c>
      <c r="J25" s="801" t="str">
        <f>IF(T!$A$4&gt;='[8]Podklady MZ'!J$2,'[8]Podklady MZ'!J30,"")</f>
        <v/>
      </c>
      <c r="K25" s="801" t="str">
        <f>IF(T!$A$4&gt;='[8]Podklady MZ'!K$2,'[8]Podklady MZ'!K30,"")</f>
        <v/>
      </c>
      <c r="L25" s="801" t="str">
        <f>IF(T!$A$4&gt;='[8]Podklady MZ'!L$2,'[8]Podklady MZ'!L30,"")</f>
        <v/>
      </c>
      <c r="M25" s="803" t="str">
        <f>IF(T!$A$4&gt;='[8]Podklady MZ'!M$2,'[8]Podklady MZ'!M30,"")</f>
        <v/>
      </c>
      <c r="N25" s="801" t="str">
        <f>IF(T!$A$4&gt;='[8]Podklady MZ'!N$2,'[8]Podklady MZ'!N30,"")</f>
        <v/>
      </c>
      <c r="O25" s="801" t="str">
        <f>IF(T!$A$4&gt;='[8]Podklady MZ'!O$2,'[8]Podklady MZ'!O30,"")</f>
        <v/>
      </c>
      <c r="P25" s="808" t="str">
        <f>IF(T!$A$4&gt;='[8]Podklady MZ'!P$2,'[8]Podklady MZ'!P30,"")</f>
        <v/>
      </c>
    </row>
    <row r="26" spans="1:16" ht="18" customHeight="1" x14ac:dyDescent="0.2">
      <c r="A26" s="1021"/>
      <c r="B26" s="576" t="s">
        <v>42</v>
      </c>
      <c r="C26" s="575" t="s">
        <v>255</v>
      </c>
      <c r="D26" s="550">
        <f>IF(T!$A$4&gt;='[8]Podklady MZ'!D$2,'[8]Podklady MZ'!D31,"")</f>
        <v>11</v>
      </c>
      <c r="E26" s="550">
        <f>IF(T!$A$4&gt;='[8]Podklady MZ'!E$2,'[8]Podklady MZ'!E31,"")</f>
        <v>2.2000000000000002</v>
      </c>
      <c r="F26" s="550" t="str">
        <f>IF(T!$A$4&gt;='[8]Podklady MZ'!F$2,'[8]Podklady MZ'!F31,"")</f>
        <v/>
      </c>
      <c r="G26" s="551" t="str">
        <f>IF(T!$A$4&gt;='[8]Podklady MZ'!G$2,'[8]Podklady MZ'!G31,"")</f>
        <v/>
      </c>
      <c r="H26" s="537" t="str">
        <f>IF(T!$A$4&gt;='[8]Podklady MZ'!H$2,'[8]Podklady MZ'!H31,"")</f>
        <v/>
      </c>
      <c r="I26" s="552" t="str">
        <f>IF(T!$A$4&gt;='[8]Podklady MZ'!I$2,'[8]Podklady MZ'!I31,"")</f>
        <v/>
      </c>
      <c r="J26" s="537" t="str">
        <f>IF(T!$A$4&gt;='[8]Podklady MZ'!J$2,'[8]Podklady MZ'!J31,"")</f>
        <v/>
      </c>
      <c r="K26" s="537" t="str">
        <f>IF(T!$A$4&gt;='[8]Podklady MZ'!K$2,'[8]Podklady MZ'!K31,"")</f>
        <v/>
      </c>
      <c r="L26" s="537" t="str">
        <f>IF(T!$A$4&gt;='[8]Podklady MZ'!L$2,'[8]Podklady MZ'!L31,"")</f>
        <v/>
      </c>
      <c r="M26" s="24" t="str">
        <f>IF(T!$A$4&gt;='[8]Podklady MZ'!M$2,'[8]Podklady MZ'!M31,"")</f>
        <v/>
      </c>
      <c r="N26" s="537" t="str">
        <f>IF(T!$A$4&gt;='[8]Podklady MZ'!N$2,'[8]Podklady MZ'!N31,"")</f>
        <v/>
      </c>
      <c r="O26" s="537" t="str">
        <f>IF(T!$A$4&gt;='[8]Podklady MZ'!O$2,'[8]Podklady MZ'!O31,"")</f>
        <v/>
      </c>
      <c r="P26" s="597" t="str">
        <f>IF(T!$A$4&gt;='[8]Podklady MZ'!P$2,'[8]Podklady MZ'!P31,"")</f>
        <v/>
      </c>
    </row>
    <row r="27" spans="1:16" ht="9.9499999999999993" customHeight="1" x14ac:dyDescent="0.2">
      <c r="A27" s="1022"/>
      <c r="B27" s="553"/>
      <c r="C27" s="538"/>
      <c r="D27" s="554"/>
      <c r="E27" s="554"/>
      <c r="F27" s="554"/>
      <c r="G27" s="555"/>
      <c r="H27" s="541"/>
      <c r="I27" s="542"/>
      <c r="J27" s="541"/>
      <c r="K27" s="541"/>
      <c r="L27" s="541"/>
      <c r="M27" s="558"/>
      <c r="N27" s="541"/>
      <c r="O27" s="541"/>
      <c r="P27" s="598"/>
    </row>
    <row r="28" spans="1:16" ht="9.9499999999999993" customHeight="1" x14ac:dyDescent="0.2">
      <c r="A28" s="506"/>
      <c r="B28" s="559"/>
      <c r="C28" s="560"/>
      <c r="D28" s="561"/>
      <c r="E28" s="561"/>
      <c r="F28" s="561"/>
      <c r="G28" s="562"/>
      <c r="H28" s="547"/>
      <c r="I28" s="548"/>
      <c r="J28" s="547"/>
      <c r="K28" s="547"/>
      <c r="L28" s="547"/>
      <c r="M28" s="549"/>
      <c r="N28" s="547"/>
      <c r="O28" s="547"/>
      <c r="P28" s="597"/>
    </row>
    <row r="29" spans="1:16" ht="18" customHeight="1" x14ac:dyDescent="0.2">
      <c r="A29" s="1021" t="str">
        <f>"Denní 
modelová spotřeba 
zemního plynu
"&amp;$A$3</f>
        <v>Denní 
modelová spotřeba 
zemního plynu
2015</v>
      </c>
      <c r="B29" s="578" t="s">
        <v>250</v>
      </c>
      <c r="C29" s="579" t="s">
        <v>253</v>
      </c>
      <c r="D29" s="796">
        <f>IF(T!$A$4&gt;='[8]Podklady MZ'!D$2,'[8]Podklady MZ'!D34,"")</f>
        <v>0.91219251430331394</v>
      </c>
      <c r="E29" s="796">
        <f>IF(T!$A$4&gt;='[8]Podklady MZ'!E$2,'[8]Podklady MZ'!E34,"")</f>
        <v>1.3110234890123738</v>
      </c>
      <c r="F29" s="796" t="str">
        <f>IF(T!$A$4&gt;='[8]Podklady MZ'!F$2,'[8]Podklady MZ'!F34,"")</f>
        <v/>
      </c>
      <c r="G29" s="797" t="str">
        <f>IF(T!$A$4&gt;='[8]Podklady MZ'!G$2,'[8]Podklady MZ'!G34,"")</f>
        <v/>
      </c>
      <c r="H29" s="796" t="str">
        <f>IF(T!$A$4&gt;='[8]Podklady MZ'!H$2,'[8]Podklady MZ'!H34,"")</f>
        <v/>
      </c>
      <c r="I29" s="798" t="str">
        <f>IF(T!$A$4&gt;='[8]Podklady MZ'!I$2,'[8]Podklady MZ'!I34,"")</f>
        <v/>
      </c>
      <c r="J29" s="796" t="str">
        <f>IF(T!$A$4&gt;='[8]Podklady MZ'!J$2,'[8]Podklady MZ'!J34,"")</f>
        <v/>
      </c>
      <c r="K29" s="796" t="str">
        <f>IF(T!$A$4&gt;='[8]Podklady MZ'!K$2,'[8]Podklady MZ'!K34,"")</f>
        <v/>
      </c>
      <c r="L29" s="796" t="str">
        <f>IF(T!$A$4&gt;='[8]Podklady MZ'!L$2,'[8]Podklady MZ'!L34,"")</f>
        <v/>
      </c>
      <c r="M29" s="797" t="str">
        <f>IF(T!$A$4&gt;='[8]Podklady MZ'!M$2,'[8]Podklady MZ'!M34,"")</f>
        <v/>
      </c>
      <c r="N29" s="796" t="str">
        <f>IF(T!$A$4&gt;='[8]Podklady MZ'!N$2,'[8]Podklady MZ'!N34,"")</f>
        <v/>
      </c>
      <c r="O29" s="796" t="str">
        <f>IF(T!$A$4&gt;='[8]Podklady MZ'!O$2,'[8]Podklady MZ'!O34,"")</f>
        <v/>
      </c>
      <c r="P29" s="603" t="s">
        <v>363</v>
      </c>
    </row>
    <row r="30" spans="1:16" ht="18" customHeight="1" x14ac:dyDescent="0.2">
      <c r="A30" s="1021"/>
      <c r="B30" s="578" t="s">
        <v>250</v>
      </c>
      <c r="C30" s="579" t="s">
        <v>398</v>
      </c>
      <c r="D30" s="796">
        <f>IF(T!$A$4&gt;='[8]Podklady MZ'!D$2,'[8]Podklady MZ'!D35,"")</f>
        <v>9.6955474118236964</v>
      </c>
      <c r="E30" s="796">
        <f>IF(T!$A$4&gt;='[8]Podklady MZ'!E$2,'[8]Podklady MZ'!E35,"")</f>
        <v>13.940307026974384</v>
      </c>
      <c r="F30" s="796" t="str">
        <f>IF(T!$A$4&gt;='[8]Podklady MZ'!F$2,'[8]Podklady MZ'!F35,"")</f>
        <v/>
      </c>
      <c r="G30" s="797" t="str">
        <f>IF(T!$A$4&gt;='[8]Podklady MZ'!G$2,'[8]Podklady MZ'!G35,"")</f>
        <v/>
      </c>
      <c r="H30" s="796" t="str">
        <f>IF(T!$A$4&gt;='[8]Podklady MZ'!H$2,'[8]Podklady MZ'!H35,"")</f>
        <v/>
      </c>
      <c r="I30" s="798" t="str">
        <f>IF(T!$A$4&gt;='[8]Podklady MZ'!I$2,'[8]Podklady MZ'!I35,"")</f>
        <v/>
      </c>
      <c r="J30" s="796" t="str">
        <f>IF(T!$A$4&gt;='[8]Podklady MZ'!J$2,'[8]Podklady MZ'!J35,"")</f>
        <v/>
      </c>
      <c r="K30" s="796" t="str">
        <f>IF(T!$A$4&gt;='[8]Podklady MZ'!K$2,'[8]Podklady MZ'!K35,"")</f>
        <v/>
      </c>
      <c r="L30" s="796" t="str">
        <f>IF(T!$A$4&gt;='[8]Podklady MZ'!L$2,'[8]Podklady MZ'!L35,"")</f>
        <v/>
      </c>
      <c r="M30" s="797" t="str">
        <f>IF(T!$A$4&gt;='[8]Podklady MZ'!M$2,'[8]Podklady MZ'!M35,"")</f>
        <v/>
      </c>
      <c r="N30" s="796" t="str">
        <f>IF(T!$A$4&gt;='[8]Podklady MZ'!N$2,'[8]Podklady MZ'!N35,"")</f>
        <v/>
      </c>
      <c r="O30" s="796" t="str">
        <f>IF(T!$A$4&gt;='[8]Podklady MZ'!O$2,'[8]Podklady MZ'!O35,"")</f>
        <v/>
      </c>
      <c r="P30" s="603" t="s">
        <v>363</v>
      </c>
    </row>
    <row r="31" spans="1:16" ht="18" customHeight="1" x14ac:dyDescent="0.2">
      <c r="A31" s="1021"/>
      <c r="B31" s="100" t="s">
        <v>258</v>
      </c>
      <c r="C31" s="575" t="s">
        <v>253</v>
      </c>
      <c r="D31" s="804">
        <f>IF(T!$A$4&gt;='[8]Podklady MZ'!D$2,'[8]Podklady MZ'!D36,"")</f>
        <v>37.110581900579199</v>
      </c>
      <c r="E31" s="804">
        <f>IF(T!$A$4&gt;='[8]Podklady MZ'!E$2,'[8]Podklady MZ'!E36,"")</f>
        <v>36.660259452578643</v>
      </c>
      <c r="F31" s="804" t="str">
        <f>IF(T!$A$4&gt;='[8]Podklady MZ'!F$2,'[8]Podklady MZ'!F36,"")</f>
        <v/>
      </c>
      <c r="G31" s="805" t="str">
        <f>IF(T!$A$4&gt;='[8]Podklady MZ'!G$2,'[8]Podklady MZ'!G36,"")</f>
        <v/>
      </c>
      <c r="H31" s="535" t="s">
        <v>363</v>
      </c>
      <c r="I31" s="536" t="s">
        <v>363</v>
      </c>
      <c r="J31" s="535" t="s">
        <v>363</v>
      </c>
      <c r="K31" s="535" t="s">
        <v>363</v>
      </c>
      <c r="L31" s="535" t="s">
        <v>363</v>
      </c>
      <c r="M31" s="805" t="str">
        <f>IF(T!$A$4&gt;='[8]Podklady MZ'!M$2,'[8]Podklady MZ'!M36,"")</f>
        <v/>
      </c>
      <c r="N31" s="804" t="str">
        <f>IF(T!$A$4&gt;='[8]Podklady MZ'!N$2,'[8]Podklady MZ'!N36,"")</f>
        <v/>
      </c>
      <c r="O31" s="804" t="str">
        <f>IF(T!$A$4&gt;='[8]Podklady MZ'!O$2,'[8]Podklady MZ'!O36,"")</f>
        <v/>
      </c>
      <c r="P31" s="597" t="s">
        <v>363</v>
      </c>
    </row>
    <row r="32" spans="1:16" ht="18" customHeight="1" x14ac:dyDescent="0.2">
      <c r="A32" s="1021"/>
      <c r="B32" s="581" t="s">
        <v>258</v>
      </c>
      <c r="C32" s="580" t="s">
        <v>398</v>
      </c>
      <c r="D32" s="806">
        <f>IF(T!$A$4&gt;='[8]Podklady MZ'!D$2,'[8]Podklady MZ'!D37,"")</f>
        <v>394.44240185662397</v>
      </c>
      <c r="E32" s="806">
        <f>IF(T!$A$4&gt;='[8]Podklady MZ'!E$2,'[8]Podklady MZ'!E37,"")</f>
        <v>389.8139711001491</v>
      </c>
      <c r="F32" s="806" t="str">
        <f>IF(T!$A$4&gt;='[8]Podklady MZ'!F$2,'[8]Podklady MZ'!F37,"")</f>
        <v/>
      </c>
      <c r="G32" s="807" t="str">
        <f>IF(T!$A$4&gt;='[8]Podklady MZ'!G$2,'[8]Podklady MZ'!G37,"")</f>
        <v/>
      </c>
      <c r="H32" s="541" t="s">
        <v>363</v>
      </c>
      <c r="I32" s="542" t="s">
        <v>363</v>
      </c>
      <c r="J32" s="541" t="s">
        <v>363</v>
      </c>
      <c r="K32" s="541" t="s">
        <v>363</v>
      </c>
      <c r="L32" s="541" t="s">
        <v>363</v>
      </c>
      <c r="M32" s="807" t="str">
        <f>IF(T!$A$4&gt;='[8]Podklady MZ'!M$2,'[8]Podklady MZ'!M37,"")</f>
        <v/>
      </c>
      <c r="N32" s="806" t="str">
        <f>IF(T!$A$4&gt;='[8]Podklady MZ'!N$2,'[8]Podklady MZ'!N37,"")</f>
        <v/>
      </c>
      <c r="O32" s="806" t="str">
        <f>IF(T!$A$4&gt;='[8]Podklady MZ'!O$2,'[8]Podklady MZ'!O37,"")</f>
        <v/>
      </c>
      <c r="P32" s="598" t="s">
        <v>363</v>
      </c>
    </row>
    <row r="33" spans="1:16" ht="18" customHeight="1" x14ac:dyDescent="0.2">
      <c r="A33" s="1021"/>
      <c r="B33" s="100" t="s">
        <v>259</v>
      </c>
      <c r="C33" s="575" t="s">
        <v>253</v>
      </c>
      <c r="D33" s="804">
        <f>IF(T!$A$4&gt;='[8]Podklady MZ'!D$2,'[8]Podklady MZ'!D38,"")</f>
        <v>48.056892072218965</v>
      </c>
      <c r="E33" s="804">
        <f>IF(T!$A$4&gt;='[8]Podklady MZ'!E$2,'[8]Podklady MZ'!E38,"")</f>
        <v>52.392541320727126</v>
      </c>
      <c r="F33" s="804" t="str">
        <f>IF(T!$A$4&gt;='[8]Podklady MZ'!F$2,'[8]Podklady MZ'!F38,"")</f>
        <v/>
      </c>
      <c r="G33" s="805" t="str">
        <f>IF(T!$A$4&gt;='[8]Podklady MZ'!G$2,'[8]Podklady MZ'!G38,"")</f>
        <v/>
      </c>
      <c r="H33" s="535" t="s">
        <v>363</v>
      </c>
      <c r="I33" s="536" t="s">
        <v>363</v>
      </c>
      <c r="J33" s="535" t="s">
        <v>363</v>
      </c>
      <c r="K33" s="535" t="s">
        <v>363</v>
      </c>
      <c r="L33" s="535" t="s">
        <v>363</v>
      </c>
      <c r="M33" s="805" t="str">
        <f>IF(T!$A$4&gt;='[8]Podklady MZ'!M$2,'[8]Podklady MZ'!M38,"")</f>
        <v/>
      </c>
      <c r="N33" s="804" t="str">
        <f>IF(T!$A$4&gt;='[8]Podklady MZ'!N$2,'[8]Podklady MZ'!N38,"")</f>
        <v/>
      </c>
      <c r="O33" s="804" t="str">
        <f>IF(T!$A$4&gt;='[8]Podklady MZ'!O$2,'[8]Podklady MZ'!O38,"")</f>
        <v/>
      </c>
      <c r="P33" s="597" t="s">
        <v>363</v>
      </c>
    </row>
    <row r="34" spans="1:16" ht="18" customHeight="1" x14ac:dyDescent="0.2">
      <c r="A34" s="1021"/>
      <c r="B34" s="100" t="s">
        <v>259</v>
      </c>
      <c r="C34" s="575" t="s">
        <v>398</v>
      </c>
      <c r="D34" s="804">
        <f>IF(T!$A$4&gt;='[8]Podklady MZ'!D$2,'[8]Podklady MZ'!D39,"")</f>
        <v>510.78897079850827</v>
      </c>
      <c r="E34" s="804">
        <f>IF(T!$A$4&gt;='[8]Podklady MZ'!E$2,'[8]Podklady MZ'!E39,"")</f>
        <v>557.09765542384173</v>
      </c>
      <c r="F34" s="804" t="str">
        <f>IF(T!$A$4&gt;='[8]Podklady MZ'!F$2,'[8]Podklady MZ'!F39,"")</f>
        <v/>
      </c>
      <c r="G34" s="805" t="str">
        <f>IF(T!$A$4&gt;='[8]Podklady MZ'!G$2,'[8]Podklady MZ'!G39,"")</f>
        <v/>
      </c>
      <c r="H34" s="535" t="s">
        <v>363</v>
      </c>
      <c r="I34" s="536" t="s">
        <v>363</v>
      </c>
      <c r="J34" s="535" t="s">
        <v>363</v>
      </c>
      <c r="K34" s="535" t="s">
        <v>363</v>
      </c>
      <c r="L34" s="535" t="s">
        <v>363</v>
      </c>
      <c r="M34" s="805" t="str">
        <f>IF(T!$A$4&gt;='[8]Podklady MZ'!M$2,'[8]Podklady MZ'!M39,"")</f>
        <v/>
      </c>
      <c r="N34" s="804" t="str">
        <f>IF(T!$A$4&gt;='[8]Podklady MZ'!N$2,'[8]Podklady MZ'!N39,"")</f>
        <v/>
      </c>
      <c r="O34" s="804" t="str">
        <f>IF(T!$A$4&gt;='[8]Podklady MZ'!O$2,'[8]Podklady MZ'!O39,"")</f>
        <v/>
      </c>
      <c r="P34" s="597" t="s">
        <v>363</v>
      </c>
    </row>
    <row r="35" spans="1:16" ht="9.9499999999999993" customHeight="1" x14ac:dyDescent="0.2">
      <c r="A35" s="1022"/>
      <c r="B35" s="518"/>
      <c r="C35" s="538"/>
      <c r="D35" s="541"/>
      <c r="E35" s="541"/>
      <c r="F35" s="541"/>
      <c r="G35" s="558"/>
      <c r="H35" s="541"/>
      <c r="I35" s="542"/>
      <c r="J35" s="541"/>
      <c r="K35" s="541"/>
      <c r="L35" s="541"/>
      <c r="M35" s="558"/>
      <c r="N35" s="541"/>
      <c r="O35" s="541"/>
      <c r="P35" s="598"/>
    </row>
    <row r="36" spans="1:16" ht="9.9499999999999993" customHeight="1" x14ac:dyDescent="0.2">
      <c r="A36" s="565"/>
      <c r="B36" s="523"/>
      <c r="C36" s="527"/>
      <c r="D36" s="566"/>
      <c r="E36" s="567"/>
      <c r="F36" s="567"/>
      <c r="G36" s="568"/>
      <c r="H36" s="569"/>
      <c r="I36" s="570"/>
      <c r="J36" s="567"/>
      <c r="K36" s="567"/>
      <c r="L36" s="567"/>
      <c r="M36" s="568"/>
      <c r="N36" s="569"/>
      <c r="O36" s="569"/>
      <c r="P36" s="604"/>
    </row>
    <row r="37" spans="1:16" ht="14.1" customHeight="1" x14ac:dyDescent="0.2"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887"/>
    </row>
    <row r="38" spans="1:16" ht="14.1" customHeight="1" x14ac:dyDescent="0.2"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</row>
    <row r="39" spans="1:16" ht="14.1" customHeight="1" x14ac:dyDescent="0.2">
      <c r="D39" s="504"/>
      <c r="E39" s="827">
        <v>2</v>
      </c>
      <c r="F39" s="827">
        <v>3</v>
      </c>
      <c r="G39" s="827">
        <v>4</v>
      </c>
      <c r="H39" s="827">
        <v>5</v>
      </c>
      <c r="I39" s="827">
        <v>6</v>
      </c>
      <c r="J39" s="827">
        <v>7</v>
      </c>
      <c r="K39" s="827">
        <v>8</v>
      </c>
      <c r="L39" s="827">
        <v>9</v>
      </c>
      <c r="M39" s="827">
        <v>10</v>
      </c>
      <c r="N39" s="827">
        <v>11</v>
      </c>
      <c r="O39" s="827">
        <v>12</v>
      </c>
      <c r="P39" s="827"/>
    </row>
    <row r="40" spans="1:16" ht="14.1" customHeight="1" x14ac:dyDescent="0.2"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</row>
    <row r="41" spans="1:16" ht="14.1" customHeight="1" x14ac:dyDescent="0.2"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</row>
    <row r="42" spans="1:16" ht="14.1" customHeight="1" x14ac:dyDescent="0.2">
      <c r="D42" s="504"/>
      <c r="E42" s="504"/>
      <c r="F42" s="504"/>
      <c r="G42" s="504"/>
      <c r="H42" s="504"/>
      <c r="I42" s="504"/>
      <c r="J42" s="504"/>
      <c r="K42" s="504"/>
      <c r="L42" s="504"/>
      <c r="M42" s="504"/>
      <c r="N42" s="504"/>
      <c r="O42" s="504"/>
      <c r="P42" s="504"/>
    </row>
    <row r="43" spans="1:16" x14ac:dyDescent="0.2">
      <c r="D43" s="504"/>
      <c r="E43" s="504"/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</row>
    <row r="44" spans="1:16" x14ac:dyDescent="0.2">
      <c r="D44" s="504"/>
      <c r="E44" s="504"/>
      <c r="F44" s="504"/>
      <c r="G44" s="504"/>
      <c r="H44" s="504"/>
      <c r="I44" s="504"/>
      <c r="J44" s="504"/>
      <c r="K44" s="504"/>
      <c r="L44" s="504"/>
      <c r="M44" s="504"/>
      <c r="N44" s="504"/>
      <c r="O44" s="504"/>
      <c r="P44" s="504"/>
    </row>
    <row r="45" spans="1:16" x14ac:dyDescent="0.2">
      <c r="D45" s="504"/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/>
      <c r="P45" s="504"/>
    </row>
    <row r="46" spans="1:16" x14ac:dyDescent="0.2">
      <c r="D46" s="504"/>
      <c r="E46" s="504"/>
      <c r="F46" s="504"/>
      <c r="G46" s="504"/>
      <c r="H46" s="504"/>
      <c r="I46" s="504"/>
      <c r="J46" s="504"/>
      <c r="K46" s="504"/>
      <c r="L46" s="504"/>
      <c r="M46" s="504"/>
      <c r="N46" s="504"/>
      <c r="O46" s="504"/>
      <c r="P46" s="504"/>
    </row>
    <row r="47" spans="1:16" x14ac:dyDescent="0.2"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04"/>
      <c r="P47" s="504"/>
    </row>
    <row r="48" spans="1:16" x14ac:dyDescent="0.2">
      <c r="D48" s="504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504"/>
      <c r="P48" s="504"/>
    </row>
    <row r="49" spans="4:16" x14ac:dyDescent="0.2"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4"/>
      <c r="P49" s="504"/>
    </row>
    <row r="50" spans="4:16" x14ac:dyDescent="0.2">
      <c r="D50" s="504"/>
      <c r="E50" s="504"/>
      <c r="F50" s="504"/>
      <c r="G50" s="504"/>
      <c r="H50" s="504"/>
      <c r="I50" s="504"/>
      <c r="J50" s="504"/>
      <c r="K50" s="504"/>
      <c r="L50" s="504"/>
      <c r="M50" s="504"/>
      <c r="N50" s="504"/>
      <c r="O50" s="504"/>
      <c r="P50" s="504"/>
    </row>
    <row r="51" spans="4:16" x14ac:dyDescent="0.2">
      <c r="D51" s="504"/>
      <c r="E51" s="504"/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4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9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973" t="s">
        <v>54</v>
      </c>
      <c r="P1" s="973"/>
    </row>
    <row r="2" spans="1:17" ht="15.95" customHeight="1" x14ac:dyDescent="0.25">
      <c r="A2" s="1023" t="s">
        <v>251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</row>
    <row r="3" spans="1:17" ht="14.1" customHeight="1" x14ac:dyDescent="0.25">
      <c r="A3" s="1024">
        <f>T!$I$21</f>
        <v>2015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4"/>
      <c r="L3" s="1024"/>
      <c r="M3" s="1024"/>
      <c r="N3" s="1024"/>
      <c r="O3" s="1024"/>
      <c r="P3" s="1024"/>
    </row>
    <row r="4" spans="1:17" ht="14.1" customHeight="1" x14ac:dyDescent="0.2">
      <c r="D4" s="501"/>
      <c r="E4" s="501"/>
      <c r="F4" s="501"/>
      <c r="G4" s="501"/>
      <c r="P4" s="601"/>
    </row>
    <row r="5" spans="1:17" ht="18" customHeight="1" x14ac:dyDescent="0.2">
      <c r="A5" s="503" t="s">
        <v>129</v>
      </c>
      <c r="B5" s="1026" t="s">
        <v>389</v>
      </c>
      <c r="C5" s="1027"/>
      <c r="D5" s="503" t="s">
        <v>13</v>
      </c>
      <c r="E5" s="503" t="s">
        <v>58</v>
      </c>
      <c r="F5" s="525" t="s">
        <v>59</v>
      </c>
      <c r="G5" s="503" t="s">
        <v>60</v>
      </c>
      <c r="H5" s="503" t="s">
        <v>61</v>
      </c>
      <c r="I5" s="525" t="s">
        <v>62</v>
      </c>
      <c r="J5" s="503" t="s">
        <v>63</v>
      </c>
      <c r="K5" s="503" t="s">
        <v>64</v>
      </c>
      <c r="L5" s="525" t="s">
        <v>65</v>
      </c>
      <c r="M5" s="503" t="s">
        <v>66</v>
      </c>
      <c r="N5" s="503" t="s">
        <v>67</v>
      </c>
      <c r="O5" s="503" t="s">
        <v>68</v>
      </c>
      <c r="P5" s="595" t="s">
        <v>2</v>
      </c>
      <c r="Q5" s="13"/>
    </row>
    <row r="6" spans="1:17" ht="5.0999999999999996" customHeight="1" x14ac:dyDescent="0.2">
      <c r="A6" s="1025" t="s">
        <v>6</v>
      </c>
      <c r="B6" s="526"/>
      <c r="C6" s="527"/>
      <c r="D6" s="502"/>
      <c r="E6" s="502"/>
      <c r="F6" s="528"/>
      <c r="G6" s="502"/>
      <c r="H6" s="502"/>
      <c r="I6" s="528"/>
      <c r="J6" s="502"/>
      <c r="K6" s="502"/>
      <c r="L6" s="528"/>
      <c r="M6" s="502"/>
      <c r="N6" s="502"/>
      <c r="O6" s="502"/>
      <c r="P6" s="596"/>
      <c r="Q6" s="13"/>
    </row>
    <row r="7" spans="1:17" ht="14.1" customHeight="1" x14ac:dyDescent="0.2">
      <c r="A7" s="1021"/>
      <c r="B7" s="100" t="s">
        <v>262</v>
      </c>
      <c r="C7" s="575" t="s">
        <v>253</v>
      </c>
      <c r="D7" s="537">
        <f>IF(T!$A$4&gt;=D$50,INDEX([2]DS!$B36:$AK36,1,3*MONTH(D$5&amp;$A$3)-1)/1000,"")</f>
        <v>385.63213875298783</v>
      </c>
      <c r="E7" s="537">
        <f>IF(T!$A$4&gt;=E$50,INDEX([2]DS!$B36:$AK36,1,3*MONTH(E$5&amp;$A$3)-1)/1000,"")</f>
        <v>353.33978032210234</v>
      </c>
      <c r="F7" s="577" t="str">
        <f>IF(T!$A$4&gt;=F$50,INDEX([2]DS!$B36:$AK36,1,3*MONTH(F$5&amp;$A$3)-1)/1000,"")</f>
        <v/>
      </c>
      <c r="G7" s="550" t="str">
        <f>IF(T!$A$4&gt;=G$50,INDEX([2]DS!$B36:$AK36,1,3*MONTH(G$5&amp;$A$3)-1)/1000,"")</f>
        <v/>
      </c>
      <c r="H7" s="537" t="str">
        <f>IF(T!$A$4&gt;=H$50,INDEX([2]DS!$B36:$AK36,1,3*MONTH(H$5&amp;$A$3)-1)/1000,"")</f>
        <v/>
      </c>
      <c r="I7" s="552" t="str">
        <f>IF(T!$A$4&gt;=I$50,INDEX([2]DS!$B36:$AK36,1,3*MONTH(I$5&amp;$A$3)-1)/1000,"")</f>
        <v/>
      </c>
      <c r="J7" s="537" t="str">
        <f>IF(T!$A$4&gt;=J$50,INDEX([2]DS!$B36:$AK36,1,3*MONTH(J$5&amp;$A$3)-1)/1000,"")</f>
        <v/>
      </c>
      <c r="K7" s="537" t="str">
        <f>IF(T!$A$4&gt;=K$50,INDEX([2]DS!$B36:$AK36,1,3*MONTH(K$5&amp;$A$3)-1)/1000,"")</f>
        <v/>
      </c>
      <c r="L7" s="552" t="str">
        <f>IF(T!$A$4&gt;=L$50,INDEX([2]DS!$B36:$AK36,1,3*MONTH(L$5&amp;$A$3)-1)/1000,"")</f>
        <v/>
      </c>
      <c r="M7" s="537" t="str">
        <f>IF(T!$A$4&gt;=M$50,INDEX([2]DS!$B36:$AK36,1,3*MONTH(M$5&amp;$A$3)-1)/1000,"")</f>
        <v/>
      </c>
      <c r="N7" s="537" t="str">
        <f>IF(T!$A$4&gt;=N$50,INDEX([2]DS!$B36:$AK36,1,3*MONTH(N$5&amp;$A$3)-1)/1000,"")</f>
        <v/>
      </c>
      <c r="O7" s="537" t="str">
        <f>IF(T!$A$4&gt;=O$50,INDEX([2]DS!$B36:$AK36,1,3*MONTH(O$5&amp;$A$3)-1)/1000,"")</f>
        <v/>
      </c>
      <c r="P7" s="597">
        <f>SUM(D7:O7)</f>
        <v>738.97191907509023</v>
      </c>
    </row>
    <row r="8" spans="1:17" ht="14.1" customHeight="1" x14ac:dyDescent="0.2">
      <c r="A8" s="1021"/>
      <c r="B8" s="100" t="s">
        <v>262</v>
      </c>
      <c r="C8" s="575" t="s">
        <v>398</v>
      </c>
      <c r="D8" s="550">
        <f>IF(T!$A$4&gt;=D$50,INDEX([2]DS!$B36:$AK36,1,3*MONTH(D$5&amp;$A$3))/1000,"")</f>
        <v>4099.1532515729996</v>
      </c>
      <c r="E8" s="567">
        <f>IF(T!$A$4&gt;=E$50,INDEX([2]DS!$B36:$AK36,1,3*MONTH(E$5&amp;$A$3))/1000,"")</f>
        <v>3757.3962138940001</v>
      </c>
      <c r="F8" s="577" t="str">
        <f>IF(T!$A$4&gt;=F$50,INDEX([2]DS!$B36:$AK36,1,3*MONTH(F$5&amp;$A$3))/1000,"")</f>
        <v/>
      </c>
      <c r="G8" s="550" t="str">
        <f>IF(T!$A$4&gt;=G$50,INDEX([2]DS!$B36:$AK36,1,3*MONTH(G$5&amp;$A$3))/1000,"")</f>
        <v/>
      </c>
      <c r="H8" s="537" t="str">
        <f>IF(T!$A$4&gt;=H$50,INDEX([2]DS!$B36:$AK36,1,3*MONTH(H$5&amp;$A$3))/1000,"")</f>
        <v/>
      </c>
      <c r="I8" s="552" t="str">
        <f>IF(T!$A$4&gt;=I$50,INDEX([2]DS!$B36:$AK36,1,3*MONTH(I$5&amp;$A$3))/1000,"")</f>
        <v/>
      </c>
      <c r="J8" s="537" t="str">
        <f>IF(T!$A$4&gt;=J$50,INDEX([2]DS!$B36:$AK36,1,3*MONTH(J$5&amp;$A$3))/1000,"")</f>
        <v/>
      </c>
      <c r="K8" s="537" t="str">
        <f>IF(T!$A$4&gt;=K$50,INDEX([2]DS!$B36:$AK36,1,3*MONTH(K$5&amp;$A$3))/1000,"")</f>
        <v/>
      </c>
      <c r="L8" s="552" t="str">
        <f>IF(T!$A$4&gt;=L$50,INDEX([2]DS!$B36:$AK36,1,3*MONTH(L$5&amp;$A$3))/1000,"")</f>
        <v/>
      </c>
      <c r="M8" s="537" t="str">
        <f>IF(T!$A$4&gt;=M$50,INDEX([2]DS!$B36:$AK36,1,3*MONTH(M$5&amp;$A$3))/1000,"")</f>
        <v/>
      </c>
      <c r="N8" s="537" t="str">
        <f>IF(T!$A$4&gt;=N$50,INDEX([2]DS!$B36:$AK36,1,3*MONTH(N$5&amp;$A$3))/1000,"")</f>
        <v/>
      </c>
      <c r="O8" s="537" t="str">
        <f>IF(T!$A$4&gt;=O$50,INDEX([2]DS!$B36:$AK36,1,3*MONTH(O$5&amp;$A$3))/1000,"")</f>
        <v/>
      </c>
      <c r="P8" s="597">
        <f t="shared" ref="P8" si="0">SUM(D8:O8)</f>
        <v>7856.5494654670001</v>
      </c>
    </row>
    <row r="9" spans="1:17" ht="14.1" customHeight="1" x14ac:dyDescent="0.2">
      <c r="A9" s="1021"/>
      <c r="B9" s="873" t="s">
        <v>260</v>
      </c>
      <c r="C9" s="874" t="s">
        <v>254</v>
      </c>
      <c r="D9" s="875">
        <f>IF(T!$A$4&gt;=D$50,D7/D$40,"")</f>
        <v>0.35664386219026406</v>
      </c>
      <c r="E9" s="875">
        <f>IF(T!$A$4&gt;=E$50,E7/E$40,"")</f>
        <v>0.35695684033317382</v>
      </c>
      <c r="F9" s="876" t="str">
        <f>IF(T!$A$4&gt;=F$50,F7/F$40,"")</f>
        <v/>
      </c>
      <c r="G9" s="875" t="str">
        <f>IF(T!$A$4&gt;=G$50,G7/G$40,"")</f>
        <v/>
      </c>
      <c r="H9" s="877" t="str">
        <f>IF(T!$A$4&gt;=H$50,H7/H$40,"")</f>
        <v/>
      </c>
      <c r="I9" s="878" t="str">
        <f>IF(T!$A$4&gt;=I$50,I7/I$40,"")</f>
        <v/>
      </c>
      <c r="J9" s="877" t="str">
        <f>IF(T!$A$4&gt;=J$50,J7/J$40,"")</f>
        <v/>
      </c>
      <c r="K9" s="877" t="str">
        <f>IF(T!$A$4&gt;=K$50,K7/K$40,"")</f>
        <v/>
      </c>
      <c r="L9" s="878" t="str">
        <f>IF(T!$A$4&gt;=L$50,L7/L$40,"")</f>
        <v/>
      </c>
      <c r="M9" s="877" t="str">
        <f>IF(T!$A$4&gt;=M$50,M7/M$40,"")</f>
        <v/>
      </c>
      <c r="N9" s="877" t="str">
        <f>IF(T!$A$4&gt;=N$50,N7/N$40,"")</f>
        <v/>
      </c>
      <c r="O9" s="877" t="str">
        <f>IF(T!$A$4&gt;=O$50,O7/O$40,"")</f>
        <v/>
      </c>
      <c r="P9" s="879">
        <f>P7/P$40</f>
        <v>0.35679344433842247</v>
      </c>
    </row>
    <row r="10" spans="1:17" ht="14.1" customHeight="1" x14ac:dyDescent="0.2">
      <c r="A10" s="1021"/>
      <c r="B10" s="100" t="s">
        <v>0</v>
      </c>
      <c r="C10" s="575"/>
      <c r="D10" s="810">
        <f>IF(T!$A$4&gt;=D$50,INDEX([2]DS!$B36:$AK36,1,3*MONTH(D$5&amp;$A$3)-2),"")</f>
        <v>1590</v>
      </c>
      <c r="E10" s="820">
        <f>IF(T!$A$4&gt;=E$50,INDEX([2]DS!$B36:$AK36,1,3*MONTH(E$5&amp;$A$3)-2),"")</f>
        <v>1592</v>
      </c>
      <c r="F10" s="811" t="str">
        <f>IF(T!$A$4&gt;=F$50,INDEX([2]DS!$B36:$AK36,1,3*MONTH(F$5&amp;$A$3)-2),"")</f>
        <v/>
      </c>
      <c r="G10" s="810" t="str">
        <f>IF(T!$A$4&gt;=G$50,INDEX([2]DS!$B36:$AK36,1,3*MONTH(G$5&amp;$A$3)-2),"")</f>
        <v/>
      </c>
      <c r="H10" s="809" t="str">
        <f>IF(T!$A$4&gt;=H$50,INDEX([2]DS!$B36:$AK36,1,3*MONTH(H$5&amp;$A$3)-2),"")</f>
        <v/>
      </c>
      <c r="I10" s="812" t="str">
        <f>IF(T!$A$4&gt;=I$50,INDEX([2]DS!$B36:$AK36,1,3*MONTH(I$5&amp;$A$3)-2),"")</f>
        <v/>
      </c>
      <c r="J10" s="809" t="str">
        <f>IF(T!$A$4&gt;=J$50,INDEX([2]DS!$B36:$AK36,1,3*MONTH(J$5&amp;$A$3)-2),"")</f>
        <v/>
      </c>
      <c r="K10" s="809" t="str">
        <f>IF(T!$A$4&gt;=K$50,INDEX([2]DS!$B36:$AK36,1,3*MONTH(K$5&amp;$A$3)-2),"")</f>
        <v/>
      </c>
      <c r="L10" s="812" t="str">
        <f>IF(T!$A$4&gt;=L$50,INDEX([2]DS!$B36:$AK36,1,3*MONTH(L$5&amp;$A$3)-2),"")</f>
        <v/>
      </c>
      <c r="M10" s="809" t="str">
        <f>IF(T!$A$4&gt;=M$50,INDEX([2]DS!$B36:$AK36,1,3*MONTH(M$5&amp;$A$3)-2),"")</f>
        <v/>
      </c>
      <c r="N10" s="809" t="str">
        <f>IF(T!$A$4&gt;=N$50,INDEX([2]DS!$B36:$AK36,1,3*MONTH(N$5&amp;$A$3)-2),"")</f>
        <v/>
      </c>
      <c r="O10" s="809" t="str">
        <f>IF(T!$A$4&gt;=O$50,INDEX([2]DS!$B36:$AK36,1,3*MONTH(O$5&amp;$A$3)-2),"")</f>
        <v/>
      </c>
      <c r="P10" s="824" t="str">
        <f>O10</f>
        <v/>
      </c>
    </row>
    <row r="11" spans="1:17" ht="14.1" customHeight="1" x14ac:dyDescent="0.2">
      <c r="A11" s="1021"/>
      <c r="B11" s="576" t="s">
        <v>261</v>
      </c>
      <c r="C11" s="575" t="s">
        <v>254</v>
      </c>
      <c r="D11" s="813">
        <f>IF(T!$A$4&gt;=D$50,D10/D$42,"")</f>
        <v>5.5806156787923972E-4</v>
      </c>
      <c r="E11" s="821">
        <f>IF(T!$A$4&gt;=E$50,E10/E$42,"")</f>
        <v>5.588321811514892E-4</v>
      </c>
      <c r="F11" s="814" t="str">
        <f>IF(T!$A$4&gt;=F$50,F10/F$42,"")</f>
        <v/>
      </c>
      <c r="G11" s="813" t="str">
        <f>IF(T!$A$4&gt;=G$50,G10/G$42,"")</f>
        <v/>
      </c>
      <c r="H11" s="391" t="str">
        <f>IF(T!$A$4&gt;=H$50,H10/H$42,"")</f>
        <v/>
      </c>
      <c r="I11" s="815" t="str">
        <f>IF(T!$A$4&gt;=I$50,I10/I$42,"")</f>
        <v/>
      </c>
      <c r="J11" s="391" t="str">
        <f>IF(T!$A$4&gt;=J$50,J10/J$42,"")</f>
        <v/>
      </c>
      <c r="K11" s="391" t="str">
        <f>IF(T!$A$4&gt;=K$50,K10/K$42,"")</f>
        <v/>
      </c>
      <c r="L11" s="815" t="str">
        <f>IF(T!$A$4&gt;=L$50,L10/L$42,"")</f>
        <v/>
      </c>
      <c r="M11" s="391" t="str">
        <f>IF(T!$A$4&gt;=M$50,M10/M$42,"")</f>
        <v/>
      </c>
      <c r="N11" s="391" t="str">
        <f>IF(T!$A$4&gt;=N$50,N10/N$42,"")</f>
        <v/>
      </c>
      <c r="O11" s="391" t="str">
        <f>IF(T!$A$4&gt;=O$50,O10/O$42,"")</f>
        <v/>
      </c>
      <c r="P11" s="822" t="str">
        <f>IF(T!$A$4&gt;=O$50,P10/P$42,"")</f>
        <v/>
      </c>
    </row>
    <row r="12" spans="1:17" ht="5.0999999999999996" customHeight="1" x14ac:dyDescent="0.2">
      <c r="A12" s="1022"/>
      <c r="B12" s="586"/>
      <c r="C12" s="584"/>
      <c r="D12" s="554"/>
      <c r="E12" s="554"/>
      <c r="F12" s="585"/>
      <c r="G12" s="554"/>
      <c r="H12" s="556"/>
      <c r="I12" s="557"/>
      <c r="J12" s="556"/>
      <c r="K12" s="556"/>
      <c r="L12" s="557"/>
      <c r="M12" s="556"/>
      <c r="N12" s="556"/>
      <c r="O12" s="556"/>
      <c r="P12" s="598"/>
    </row>
    <row r="13" spans="1:17" ht="5.0999999999999996" customHeight="1" x14ac:dyDescent="0.2">
      <c r="A13" s="1025" t="s">
        <v>7</v>
      </c>
      <c r="B13" s="526"/>
      <c r="C13" s="527"/>
      <c r="D13" s="502"/>
      <c r="E13" s="502"/>
      <c r="F13" s="528"/>
      <c r="G13" s="502"/>
      <c r="H13" s="502"/>
      <c r="I13" s="528"/>
      <c r="J13" s="502"/>
      <c r="K13" s="502"/>
      <c r="L13" s="528"/>
      <c r="M13" s="502"/>
      <c r="N13" s="502"/>
      <c r="O13" s="823"/>
      <c r="P13" s="596"/>
    </row>
    <row r="14" spans="1:17" ht="14.1" customHeight="1" x14ac:dyDescent="0.2">
      <c r="A14" s="1021"/>
      <c r="B14" s="100" t="s">
        <v>262</v>
      </c>
      <c r="C14" s="575" t="s">
        <v>253</v>
      </c>
      <c r="D14" s="550">
        <f>IF(T!$A$4&gt;=D$50,INDEX([2]DS!$B37:$AK37,1,3*MONTH(D$5&amp;$A$3)-1)/1000,"")</f>
        <v>109.44037237872847</v>
      </c>
      <c r="E14" s="550">
        <f>IF(T!$A$4&gt;=E$50,INDEX([2]DS!$B37:$AK37,1,3*MONTH(E$5&amp;$A$3)-1)/1000,"")</f>
        <v>101.46819909431994</v>
      </c>
      <c r="F14" s="577" t="str">
        <f>IF(T!$A$4&gt;=F$50,INDEX([2]DS!$B37:$AK37,1,3*MONTH(F$5&amp;$A$3)-1)/1000,"")</f>
        <v/>
      </c>
      <c r="G14" s="550" t="str">
        <f>IF(T!$A$4&gt;=G$50,INDEX([2]DS!$B37:$AK37,1,3*MONTH(G$5&amp;$A$3)-1)/1000,"")</f>
        <v/>
      </c>
      <c r="H14" s="537" t="str">
        <f>IF(T!$A$4&gt;=H$50,INDEX([2]DS!$B37:$AK37,1,3*MONTH(H$5&amp;$A$3)-1)/1000,"")</f>
        <v/>
      </c>
      <c r="I14" s="552" t="str">
        <f>IF(T!$A$4&gt;=I$50,INDEX([2]DS!$B37:$AK37,1,3*MONTH(I$5&amp;$A$3)-1)/1000,"")</f>
        <v/>
      </c>
      <c r="J14" s="537" t="str">
        <f>IF(T!$A$4&gt;=J$50,INDEX([2]DS!$B37:$AK37,1,3*MONTH(J$5&amp;$A$3)-1)/1000,"")</f>
        <v/>
      </c>
      <c r="K14" s="537" t="str">
        <f>IF(T!$A$4&gt;=K$50,INDEX([2]DS!$B37:$AK37,1,3*MONTH(K$5&amp;$A$3)-1)/1000,"")</f>
        <v/>
      </c>
      <c r="L14" s="552" t="str">
        <f>IF(T!$A$4&gt;=L$50,INDEX([2]DS!$B37:$AK37,1,3*MONTH(L$5&amp;$A$3)-1)/1000,"")</f>
        <v/>
      </c>
      <c r="M14" s="537" t="str">
        <f>IF(T!$A$4&gt;=M$50,INDEX([2]DS!$B37:$AK37,1,3*MONTH(M$5&amp;$A$3)-1)/1000,"")</f>
        <v/>
      </c>
      <c r="N14" s="537" t="str">
        <f>IF(T!$A$4&gt;=N$50,INDEX([2]DS!$B37:$AK37,1,3*MONTH(N$5&amp;$A$3)-1)/1000,"")</f>
        <v/>
      </c>
      <c r="O14" s="537" t="str">
        <f>IF(T!$A$4&gt;=O$50,INDEX([2]DS!$B37:$AK37,1,3*MONTH(O$5&amp;$A$3)-1)/1000,"")</f>
        <v/>
      </c>
      <c r="P14" s="597">
        <f>SUM(D14:O14)</f>
        <v>210.90857147304843</v>
      </c>
    </row>
    <row r="15" spans="1:17" ht="14.1" customHeight="1" x14ac:dyDescent="0.2">
      <c r="A15" s="1021"/>
      <c r="B15" s="100" t="s">
        <v>262</v>
      </c>
      <c r="C15" s="575" t="s">
        <v>398</v>
      </c>
      <c r="D15" s="550">
        <f>IF(T!$A$4&gt;=D$50,INDEX([2]DS!$B37:$AK37,1,3*MONTH(D$5&amp;$A$3))/1000,"")</f>
        <v>1162.9244275710003</v>
      </c>
      <c r="E15" s="550">
        <f>IF(T!$A$4&gt;=E$50,INDEX([2]DS!$B37:$AK37,1,3*MONTH(E$5&amp;$A$3))/1000,"")</f>
        <v>1078.7178574569998</v>
      </c>
      <c r="F15" s="577" t="str">
        <f>IF(T!$A$4&gt;=F$50,INDEX([2]DS!$B37:$AK37,1,3*MONTH(F$5&amp;$A$3))/1000,"")</f>
        <v/>
      </c>
      <c r="G15" s="550" t="str">
        <f>IF(T!$A$4&gt;=G$50,INDEX([2]DS!$B37:$AK37,1,3*MONTH(G$5&amp;$A$3))/1000,"")</f>
        <v/>
      </c>
      <c r="H15" s="537" t="str">
        <f>IF(T!$A$4&gt;=H$50,INDEX([2]DS!$B37:$AK37,1,3*MONTH(H$5&amp;$A$3))/1000,"")</f>
        <v/>
      </c>
      <c r="I15" s="552" t="str">
        <f>IF(T!$A$4&gt;=I$50,INDEX([2]DS!$B37:$AK37,1,3*MONTH(I$5&amp;$A$3))/1000,"")</f>
        <v/>
      </c>
      <c r="J15" s="537" t="str">
        <f>IF(T!$A$4&gt;=J$50,INDEX([2]DS!$B37:$AK37,1,3*MONTH(J$5&amp;$A$3))/1000,"")</f>
        <v/>
      </c>
      <c r="K15" s="537" t="str">
        <f>IF(T!$A$4&gt;=K$50,INDEX([2]DS!$B37:$AK37,1,3*MONTH(K$5&amp;$A$3))/1000,"")</f>
        <v/>
      </c>
      <c r="L15" s="552" t="str">
        <f>IF(T!$A$4&gt;=L$50,INDEX([2]DS!$B37:$AK37,1,3*MONTH(L$5&amp;$A$3))/1000,"")</f>
        <v/>
      </c>
      <c r="M15" s="537" t="str">
        <f>IF(T!$A$4&gt;=M$50,INDEX([2]DS!$B37:$AK37,1,3*MONTH(M$5&amp;$A$3))/1000,"")</f>
        <v/>
      </c>
      <c r="N15" s="537" t="str">
        <f>IF(T!$A$4&gt;=N$50,INDEX([2]DS!$B37:$AK37,1,3*MONTH(N$5&amp;$A$3))/1000,"")</f>
        <v/>
      </c>
      <c r="O15" s="537" t="str">
        <f>IF(T!$A$4&gt;=O$50,INDEX([2]DS!$B37:$AK37,1,3*MONTH(O$5&amp;$A$3))/1000,"")</f>
        <v/>
      </c>
      <c r="P15" s="597">
        <f t="shared" ref="P15" si="1">SUM(D15:O15)</f>
        <v>2241.6422850280001</v>
      </c>
    </row>
    <row r="16" spans="1:17" ht="14.1" customHeight="1" x14ac:dyDescent="0.2">
      <c r="A16" s="1021"/>
      <c r="B16" s="873" t="s">
        <v>260</v>
      </c>
      <c r="C16" s="874" t="s">
        <v>254</v>
      </c>
      <c r="D16" s="875">
        <f>IF(T!$A$4&gt;=D$50,D14/D$40,"")</f>
        <v>0.10121365198166593</v>
      </c>
      <c r="E16" s="875">
        <f>IF(T!$A$4&gt;=E$50,E14/E$40,"")</f>
        <v>0.10250690627018599</v>
      </c>
      <c r="F16" s="876" t="str">
        <f>IF(T!$A$4&gt;=F$50,F14/F$40,"")</f>
        <v/>
      </c>
      <c r="G16" s="875" t="str">
        <f>IF(T!$A$4&gt;=G$50,G14/G$40,"")</f>
        <v/>
      </c>
      <c r="H16" s="877" t="str">
        <f>IF(T!$A$4&gt;=H$50,H14/H$40,"")</f>
        <v/>
      </c>
      <c r="I16" s="878" t="str">
        <f>IF(T!$A$4&gt;=I$50,I14/I$40,"")</f>
        <v/>
      </c>
      <c r="J16" s="877" t="str">
        <f>IF(T!$A$4&gt;=J$50,J14/J$40,"")</f>
        <v/>
      </c>
      <c r="K16" s="877" t="str">
        <f>IF(T!$A$4&gt;=K$50,K14/K$40,"")</f>
        <v/>
      </c>
      <c r="L16" s="878" t="str">
        <f>IF(T!$A$4&gt;=L$50,L14/L$40,"")</f>
        <v/>
      </c>
      <c r="M16" s="877" t="str">
        <f>IF(T!$A$4&gt;=M$50,M14/M$40,"")</f>
        <v/>
      </c>
      <c r="N16" s="877" t="str">
        <f>IF(T!$A$4&gt;=N$50,N14/N$40,"")</f>
        <v/>
      </c>
      <c r="O16" s="877" t="str">
        <f>IF(T!$A$4&gt;=O$50,O14/O$40,"")</f>
        <v/>
      </c>
      <c r="P16" s="879">
        <f t="shared" ref="P16" si="2">P14/P$40</f>
        <v>0.10183173908766448</v>
      </c>
    </row>
    <row r="17" spans="1:16" ht="14.1" customHeight="1" x14ac:dyDescent="0.2">
      <c r="A17" s="1021"/>
      <c r="B17" s="100" t="s">
        <v>0</v>
      </c>
      <c r="C17" s="575"/>
      <c r="D17" s="810">
        <f>IF(T!$A$4&gt;=D$50,INDEX([2]DS!$B37:$AK37,1,3*MONTH(D$5&amp;$A$3)-2),"")</f>
        <v>6845</v>
      </c>
      <c r="E17" s="810">
        <f>IF(T!$A$4&gt;=E$50,INDEX([2]DS!$B37:$AK37,1,3*MONTH(E$5&amp;$A$3)-2),"")</f>
        <v>6843</v>
      </c>
      <c r="F17" s="811" t="str">
        <f>IF(T!$A$4&gt;=F$50,INDEX([2]DS!$B37:$AK37,1,3*MONTH(F$5&amp;$A$3)-2),"")</f>
        <v/>
      </c>
      <c r="G17" s="810" t="str">
        <f>IF(T!$A$4&gt;=G$50,INDEX([2]DS!$B37:$AK37,1,3*MONTH(G$5&amp;$A$3)-2),"")</f>
        <v/>
      </c>
      <c r="H17" s="809" t="str">
        <f>IF(T!$A$4&gt;=H$50,INDEX([2]DS!$B37:$AK37,1,3*MONTH(H$5&amp;$A$3)-2),"")</f>
        <v/>
      </c>
      <c r="I17" s="812" t="str">
        <f>IF(T!$A$4&gt;=I$50,INDEX([2]DS!$B37:$AK37,1,3*MONTH(I$5&amp;$A$3)-2),"")</f>
        <v/>
      </c>
      <c r="J17" s="809" t="str">
        <f>IF(T!$A$4&gt;=J$50,INDEX([2]DS!$B37:$AK37,1,3*MONTH(J$5&amp;$A$3)-2),"")</f>
        <v/>
      </c>
      <c r="K17" s="809" t="str">
        <f>IF(T!$A$4&gt;=K$50,INDEX([2]DS!$B37:$AK37,1,3*MONTH(K$5&amp;$A$3)-2),"")</f>
        <v/>
      </c>
      <c r="L17" s="812" t="str">
        <f>IF(T!$A$4&gt;=L$50,INDEX([2]DS!$B37:$AK37,1,3*MONTH(L$5&amp;$A$3)-2),"")</f>
        <v/>
      </c>
      <c r="M17" s="809" t="str">
        <f>IF(T!$A$4&gt;=M$50,INDEX([2]DS!$B37:$AK37,1,3*MONTH(M$5&amp;$A$3)-2),"")</f>
        <v/>
      </c>
      <c r="N17" s="809" t="str">
        <f>IF(T!$A$4&gt;=N$50,INDEX([2]DS!$B37:$AK37,1,3*MONTH(N$5&amp;$A$3)-2),"")</f>
        <v/>
      </c>
      <c r="O17" s="809" t="str">
        <f>IF(T!$A$4&gt;=O$50,INDEX([2]DS!$B37:$AK37,1,3*MONTH(O$5&amp;$A$3)-2),"")</f>
        <v/>
      </c>
      <c r="P17" s="824" t="str">
        <f>O17</f>
        <v/>
      </c>
    </row>
    <row r="18" spans="1:16" ht="14.1" customHeight="1" x14ac:dyDescent="0.2">
      <c r="A18" s="1021"/>
      <c r="B18" s="576" t="s">
        <v>261</v>
      </c>
      <c r="C18" s="575" t="s">
        <v>254</v>
      </c>
      <c r="D18" s="813">
        <f>IF(T!$A$4&gt;=D$50,D17/D$42,"")</f>
        <v>2.4024725988260349E-3</v>
      </c>
      <c r="E18" s="821">
        <f>IF(T!$A$4&gt;=E$50,E17/E$42,"")</f>
        <v>2.4020657133289199E-3</v>
      </c>
      <c r="F18" s="814" t="str">
        <f>IF(T!$A$4&gt;=F$50,F17/F$42,"")</f>
        <v/>
      </c>
      <c r="G18" s="813" t="str">
        <f>IF(T!$A$4&gt;=G$50,G17/G$42,"")</f>
        <v/>
      </c>
      <c r="H18" s="391" t="str">
        <f>IF(T!$A$4&gt;=H$50,H17/H$42,"")</f>
        <v/>
      </c>
      <c r="I18" s="815" t="str">
        <f>IF(T!$A$4&gt;=I$50,I17/I$42,"")</f>
        <v/>
      </c>
      <c r="J18" s="391" t="str">
        <f>IF(T!$A$4&gt;=J$50,J17/J$42,"")</f>
        <v/>
      </c>
      <c r="K18" s="391" t="str">
        <f>IF(T!$A$4&gt;=K$50,K17/K$42,"")</f>
        <v/>
      </c>
      <c r="L18" s="815" t="str">
        <f>IF(T!$A$4&gt;=L$50,L17/L$42,"")</f>
        <v/>
      </c>
      <c r="M18" s="391" t="str">
        <f>IF(T!$A$4&gt;=M$50,M17/M$42,"")</f>
        <v/>
      </c>
      <c r="N18" s="391" t="str">
        <f>IF(T!$A$4&gt;=N$50,N17/N$42,"")</f>
        <v/>
      </c>
      <c r="O18" s="391" t="str">
        <f>IF(T!$A$4&gt;=O$50,O17/O$42,"")</f>
        <v/>
      </c>
      <c r="P18" s="822" t="str">
        <f>IF(T!$A$4&gt;=O$50,P17/P$42,"")</f>
        <v/>
      </c>
    </row>
    <row r="19" spans="1:16" ht="5.0999999999999996" customHeight="1" x14ac:dyDescent="0.2">
      <c r="A19" s="1022"/>
      <c r="B19" s="586"/>
      <c r="C19" s="584"/>
      <c r="D19" s="554"/>
      <c r="E19" s="554"/>
      <c r="F19" s="585"/>
      <c r="G19" s="554"/>
      <c r="H19" s="556"/>
      <c r="I19" s="557"/>
      <c r="J19" s="556"/>
      <c r="K19" s="556"/>
      <c r="L19" s="557"/>
      <c r="M19" s="556"/>
      <c r="N19" s="556"/>
      <c r="O19" s="556"/>
      <c r="P19" s="598"/>
    </row>
    <row r="20" spans="1:16" ht="5.0999999999999996" customHeight="1" x14ac:dyDescent="0.2">
      <c r="A20" s="1025" t="s">
        <v>8</v>
      </c>
      <c r="B20" s="526"/>
      <c r="C20" s="527"/>
      <c r="D20" s="502"/>
      <c r="E20" s="502"/>
      <c r="F20" s="528"/>
      <c r="G20" s="502"/>
      <c r="H20" s="502"/>
      <c r="I20" s="528"/>
      <c r="J20" s="502"/>
      <c r="K20" s="502"/>
      <c r="L20" s="528"/>
      <c r="M20" s="502"/>
      <c r="N20" s="502"/>
      <c r="O20" s="823"/>
      <c r="P20" s="596"/>
    </row>
    <row r="21" spans="1:16" ht="14.1" customHeight="1" x14ac:dyDescent="0.2">
      <c r="A21" s="1021"/>
      <c r="B21" s="100" t="s">
        <v>262</v>
      </c>
      <c r="C21" s="575" t="s">
        <v>253</v>
      </c>
      <c r="D21" s="550">
        <f>IF(T!$A$4&gt;=D$50,INDEX([2]DS!$B38:$AK38,1,3*MONTH(D$5&amp;$A$3)-1)/1000,"")</f>
        <v>185.45573098381678</v>
      </c>
      <c r="E21" s="550">
        <f>IF(T!$A$4&gt;=E$50,INDEX([2]DS!$B38:$AK38,1,3*MONTH(E$5&amp;$A$3)-1)/1000,"")</f>
        <v>168.97767665120313</v>
      </c>
      <c r="F21" s="577" t="str">
        <f>IF(T!$A$4&gt;=F$50,INDEX([2]DS!$B38:$AK38,1,3*MONTH(F$5&amp;$A$3)-1)/1000,"")</f>
        <v/>
      </c>
      <c r="G21" s="550" t="str">
        <f>IF(T!$A$4&gt;=G$50,INDEX([2]DS!$B38:$AK38,1,3*MONTH(G$5&amp;$A$3)-1)/1000,"")</f>
        <v/>
      </c>
      <c r="H21" s="537" t="str">
        <f>IF(T!$A$4&gt;=H$50,INDEX([2]DS!$B38:$AK38,1,3*MONTH(H$5&amp;$A$3)-1)/1000,"")</f>
        <v/>
      </c>
      <c r="I21" s="552" t="str">
        <f>IF(T!$A$4&gt;=I$50,INDEX([2]DS!$B38:$AK38,1,3*MONTH(I$5&amp;$A$3)-1)/1000,"")</f>
        <v/>
      </c>
      <c r="J21" s="537" t="str">
        <f>IF(T!$A$4&gt;=J$50,INDEX([2]DS!$B38:$AK38,1,3*MONTH(J$5&amp;$A$3)-1)/1000,"")</f>
        <v/>
      </c>
      <c r="K21" s="537" t="str">
        <f>IF(T!$A$4&gt;=K$50,INDEX([2]DS!$B38:$AK38,1,3*MONTH(K$5&amp;$A$3)-1)/1000,"")</f>
        <v/>
      </c>
      <c r="L21" s="552" t="str">
        <f>IF(T!$A$4&gt;=L$50,INDEX([2]DS!$B38:$AK38,1,3*MONTH(L$5&amp;$A$3)-1)/1000,"")</f>
        <v/>
      </c>
      <c r="M21" s="537" t="str">
        <f>IF(T!$A$4&gt;=M$50,INDEX([2]DS!$B38:$AK38,1,3*MONTH(M$5&amp;$A$3)-1)/1000,"")</f>
        <v/>
      </c>
      <c r="N21" s="537" t="str">
        <f>IF(T!$A$4&gt;=N$50,INDEX([2]DS!$B38:$AK38,1,3*MONTH(N$5&amp;$A$3)-1)/1000,"")</f>
        <v/>
      </c>
      <c r="O21" s="537" t="str">
        <f>IF(T!$A$4&gt;=O$50,INDEX([2]DS!$B38:$AK38,1,3*MONTH(O$5&amp;$A$3)-1)/1000,"")</f>
        <v/>
      </c>
      <c r="P21" s="597">
        <f>SUM(D21:O21)</f>
        <v>354.43340763501988</v>
      </c>
    </row>
    <row r="22" spans="1:16" ht="14.1" customHeight="1" x14ac:dyDescent="0.2">
      <c r="A22" s="1021"/>
      <c r="B22" s="100" t="s">
        <v>262</v>
      </c>
      <c r="C22" s="575" t="s">
        <v>398</v>
      </c>
      <c r="D22" s="550">
        <f>IF(T!$A$4&gt;=D$50,INDEX([2]DS!$B38:$AK38,1,3*MONTH(D$5&amp;$A$3))/1000,"")</f>
        <v>1970.9617956427305</v>
      </c>
      <c r="E22" s="550">
        <f>IF(T!$A$4&gt;=E$50,INDEX([2]DS!$B38:$AK38,1,3*MONTH(E$5&amp;$A$3))/1000,"")</f>
        <v>1796.5965963848589</v>
      </c>
      <c r="F22" s="577" t="str">
        <f>IF(T!$A$4&gt;=F$50,INDEX([2]DS!$B38:$AK38,1,3*MONTH(F$5&amp;$A$3))/1000,"")</f>
        <v/>
      </c>
      <c r="G22" s="550" t="str">
        <f>IF(T!$A$4&gt;=G$50,INDEX([2]DS!$B38:$AK38,1,3*MONTH(G$5&amp;$A$3))/1000,"")</f>
        <v/>
      </c>
      <c r="H22" s="537" t="str">
        <f>IF(T!$A$4&gt;=H$50,INDEX([2]DS!$B38:$AK38,1,3*MONTH(H$5&amp;$A$3))/1000,"")</f>
        <v/>
      </c>
      <c r="I22" s="552" t="str">
        <f>IF(T!$A$4&gt;=I$50,INDEX([2]DS!$B38:$AK38,1,3*MONTH(I$5&amp;$A$3))/1000,"")</f>
        <v/>
      </c>
      <c r="J22" s="537" t="str">
        <f>IF(T!$A$4&gt;=J$50,INDEX([2]DS!$B38:$AK38,1,3*MONTH(J$5&amp;$A$3))/1000,"")</f>
        <v/>
      </c>
      <c r="K22" s="537" t="str">
        <f>IF(T!$A$4&gt;=K$50,INDEX([2]DS!$B38:$AK38,1,3*MONTH(K$5&amp;$A$3))/1000,"")</f>
        <v/>
      </c>
      <c r="L22" s="552" t="str">
        <f>IF(T!$A$4&gt;=L$50,INDEX([2]DS!$B38:$AK38,1,3*MONTH(L$5&amp;$A$3))/1000,"")</f>
        <v/>
      </c>
      <c r="M22" s="537" t="str">
        <f>IF(T!$A$4&gt;=M$50,INDEX([2]DS!$B38:$AK38,1,3*MONTH(M$5&amp;$A$3))/1000,"")</f>
        <v/>
      </c>
      <c r="N22" s="537" t="str">
        <f>IF(T!$A$4&gt;=N$50,INDEX([2]DS!$B38:$AK38,1,3*MONTH(N$5&amp;$A$3))/1000,"")</f>
        <v/>
      </c>
      <c r="O22" s="537" t="str">
        <f>IF(T!$A$4&gt;=O$50,INDEX([2]DS!$B38:$AK38,1,3*MONTH(O$5&amp;$A$3))/1000,"")</f>
        <v/>
      </c>
      <c r="P22" s="597">
        <f t="shared" ref="P22" si="3">SUM(D22:O22)</f>
        <v>3767.5583920275894</v>
      </c>
    </row>
    <row r="23" spans="1:16" ht="14.1" customHeight="1" x14ac:dyDescent="0.2">
      <c r="A23" s="1021"/>
      <c r="B23" s="873" t="s">
        <v>260</v>
      </c>
      <c r="C23" s="874" t="s">
        <v>254</v>
      </c>
      <c r="D23" s="875">
        <f>IF(T!$A$4&gt;=D$50,D21/D$40,"")</f>
        <v>0.17151487523127137</v>
      </c>
      <c r="E23" s="875">
        <f>IF(T!$A$4&gt;=E$50,E21/E$40,"")</f>
        <v>0.17070746319383825</v>
      </c>
      <c r="F23" s="876" t="str">
        <f>IF(T!$A$4&gt;=F$50,F21/F$40,"")</f>
        <v/>
      </c>
      <c r="G23" s="875" t="str">
        <f>IF(T!$A$4&gt;=G$50,G21/G$40,"")</f>
        <v/>
      </c>
      <c r="H23" s="877" t="str">
        <f>IF(T!$A$4&gt;=H$50,H21/H$40,"")</f>
        <v/>
      </c>
      <c r="I23" s="878" t="str">
        <f>IF(T!$A$4&gt;=I$50,I21/I$40,"")</f>
        <v/>
      </c>
      <c r="J23" s="877" t="str">
        <f>IF(T!$A$4&gt;=J$50,J21/J$40,"")</f>
        <v/>
      </c>
      <c r="K23" s="877" t="str">
        <f>IF(T!$A$4&gt;=K$50,K21/K$40,"")</f>
        <v/>
      </c>
      <c r="L23" s="878" t="str">
        <f>IF(T!$A$4&gt;=L$50,L21/L$40,"")</f>
        <v/>
      </c>
      <c r="M23" s="877" t="str">
        <f>IF(T!$A$4&gt;=M$50,M21/M$40,"")</f>
        <v/>
      </c>
      <c r="N23" s="877" t="str">
        <f>IF(T!$A$4&gt;=N$50,N21/N$40,"")</f>
        <v/>
      </c>
      <c r="O23" s="877" t="str">
        <f>IF(T!$A$4&gt;=O$50,O21/O$40,"")</f>
        <v/>
      </c>
      <c r="P23" s="879">
        <f t="shared" ref="P23" si="4">P21/P$40</f>
        <v>0.17112898749519703</v>
      </c>
    </row>
    <row r="24" spans="1:16" ht="14.1" customHeight="1" x14ac:dyDescent="0.2">
      <c r="A24" s="1021"/>
      <c r="B24" s="100" t="s">
        <v>0</v>
      </c>
      <c r="C24" s="575"/>
      <c r="D24" s="810">
        <f>IF(T!$A$4&gt;=D$50,INDEX([2]DS!$B38:$AK38,1,3*MONTH(D$5&amp;$A$3)-2),"")</f>
        <v>197927</v>
      </c>
      <c r="E24" s="810">
        <f>IF(T!$A$4&gt;=E$50,INDEX([2]DS!$B38:$AK38,1,3*MONTH(E$5&amp;$A$3)-2),"")</f>
        <v>197876</v>
      </c>
      <c r="F24" s="811" t="str">
        <f>IF(T!$A$4&gt;=F$50,INDEX([2]DS!$B38:$AK38,1,3*MONTH(F$5&amp;$A$3)-2),"")</f>
        <v/>
      </c>
      <c r="G24" s="810" t="str">
        <f>IF(T!$A$4&gt;=G$50,INDEX([2]DS!$B38:$AK38,1,3*MONTH(G$5&amp;$A$3)-2),"")</f>
        <v/>
      </c>
      <c r="H24" s="809" t="str">
        <f>IF(T!$A$4&gt;=H$50,INDEX([2]DS!$B38:$AK38,1,3*MONTH(H$5&amp;$A$3)-2),"")</f>
        <v/>
      </c>
      <c r="I24" s="812" t="str">
        <f>IF(T!$A$4&gt;=I$50,INDEX([2]DS!$B38:$AK38,1,3*MONTH(I$5&amp;$A$3)-2),"")</f>
        <v/>
      </c>
      <c r="J24" s="809" t="str">
        <f>IF(T!$A$4&gt;=J$50,INDEX([2]DS!$B38:$AK38,1,3*MONTH(J$5&amp;$A$3)-2),"")</f>
        <v/>
      </c>
      <c r="K24" s="809" t="str">
        <f>IF(T!$A$4&gt;=K$50,INDEX([2]DS!$B38:$AK38,1,3*MONTH(K$5&amp;$A$3)-2),"")</f>
        <v/>
      </c>
      <c r="L24" s="812" t="str">
        <f>IF(T!$A$4&gt;=L$50,INDEX([2]DS!$B38:$AK38,1,3*MONTH(L$5&amp;$A$3)-2),"")</f>
        <v/>
      </c>
      <c r="M24" s="809" t="str">
        <f>IF(T!$A$4&gt;=M$50,INDEX([2]DS!$B38:$AK38,1,3*MONTH(M$5&amp;$A$3)-2),"")</f>
        <v/>
      </c>
      <c r="N24" s="809" t="str">
        <f>IF(T!$A$4&gt;=N$50,INDEX([2]DS!$B38:$AK38,1,3*MONTH(N$5&amp;$A$3)-2),"")</f>
        <v/>
      </c>
      <c r="O24" s="809" t="str">
        <f>IF(T!$A$4&gt;=O$50,INDEX([2]DS!$B38:$AK38,1,3*MONTH(O$5&amp;$A$3)-2),"")</f>
        <v/>
      </c>
      <c r="P24" s="824" t="str">
        <f>O24</f>
        <v/>
      </c>
    </row>
    <row r="25" spans="1:16" ht="14.1" customHeight="1" x14ac:dyDescent="0.2">
      <c r="A25" s="1021"/>
      <c r="B25" s="576" t="s">
        <v>261</v>
      </c>
      <c r="C25" s="575" t="s">
        <v>254</v>
      </c>
      <c r="D25" s="813">
        <f>IF(T!$A$4&gt;=D$50,D24/D$42,"")</f>
        <v>6.946883770165678E-2</v>
      </c>
      <c r="E25" s="821">
        <f>IF(T!$A$4&gt;=E$50,E24/E$42,"")</f>
        <v>6.9459470274831694E-2</v>
      </c>
      <c r="F25" s="814" t="str">
        <f>IF(T!$A$4&gt;=F$50,F24/F$42,"")</f>
        <v/>
      </c>
      <c r="G25" s="813" t="str">
        <f>IF(T!$A$4&gt;=G$50,G24/G$42,"")</f>
        <v/>
      </c>
      <c r="H25" s="391" t="str">
        <f>IF(T!$A$4&gt;=H$50,H24/H$42,"")</f>
        <v/>
      </c>
      <c r="I25" s="815" t="str">
        <f>IF(T!$A$4&gt;=I$50,I24/I$42,"")</f>
        <v/>
      </c>
      <c r="J25" s="391" t="str">
        <f>IF(T!$A$4&gt;=J$50,J24/J$42,"")</f>
        <v/>
      </c>
      <c r="K25" s="391" t="str">
        <f>IF(T!$A$4&gt;=K$50,K24/K$42,"")</f>
        <v/>
      </c>
      <c r="L25" s="815" t="str">
        <f>IF(T!$A$4&gt;=L$50,L24/L$42,"")</f>
        <v/>
      </c>
      <c r="M25" s="391" t="str">
        <f>IF(T!$A$4&gt;=M$50,M24/M$42,"")</f>
        <v/>
      </c>
      <c r="N25" s="391" t="str">
        <f>IF(T!$A$4&gt;=N$50,N24/N$42,"")</f>
        <v/>
      </c>
      <c r="O25" s="391" t="str">
        <f>IF(T!$A$4&gt;=O$50,O24/O$42,"")</f>
        <v/>
      </c>
      <c r="P25" s="822" t="str">
        <f>IF(T!$A$4&gt;=O$50,P24/P$42,"")</f>
        <v/>
      </c>
    </row>
    <row r="26" spans="1:16" ht="5.0999999999999996" customHeight="1" x14ac:dyDescent="0.2">
      <c r="A26" s="1022"/>
      <c r="B26" s="586"/>
      <c r="C26" s="584"/>
      <c r="D26" s="554"/>
      <c r="E26" s="554"/>
      <c r="F26" s="585"/>
      <c r="G26" s="554"/>
      <c r="H26" s="556"/>
      <c r="I26" s="557"/>
      <c r="J26" s="556"/>
      <c r="K26" s="556"/>
      <c r="L26" s="557"/>
      <c r="M26" s="556"/>
      <c r="N26" s="556"/>
      <c r="O26" s="556"/>
      <c r="P26" s="598"/>
    </row>
    <row r="27" spans="1:16" ht="5.0999999999999996" customHeight="1" x14ac:dyDescent="0.2">
      <c r="A27" s="1025" t="s">
        <v>9</v>
      </c>
      <c r="B27" s="526"/>
      <c r="C27" s="527"/>
      <c r="D27" s="502"/>
      <c r="E27" s="502"/>
      <c r="F27" s="528"/>
      <c r="G27" s="502"/>
      <c r="H27" s="502"/>
      <c r="I27" s="528"/>
      <c r="J27" s="502"/>
      <c r="K27" s="502"/>
      <c r="L27" s="528"/>
      <c r="M27" s="502"/>
      <c r="N27" s="502"/>
      <c r="O27" s="823"/>
      <c r="P27" s="596"/>
    </row>
    <row r="28" spans="1:16" ht="14.1" customHeight="1" x14ac:dyDescent="0.2">
      <c r="A28" s="1021"/>
      <c r="B28" s="100" t="s">
        <v>262</v>
      </c>
      <c r="C28" s="575" t="s">
        <v>253</v>
      </c>
      <c r="D28" s="550">
        <f>IF(T!$A$4&gt;=D$50,INDEX([2]DS!$B39:$AK39,1,3*MONTH(D$5&amp;$A$3)-1)/1000,"")</f>
        <v>380.09252846704175</v>
      </c>
      <c r="E28" s="550">
        <f>IF(T!$A$4&gt;=E$50,INDEX([2]DS!$B39:$AK39,1,3*MONTH(E$5&amp;$A$3)-1)/1000,"")</f>
        <v>345.72292906950554</v>
      </c>
      <c r="F28" s="577" t="str">
        <f>IF(T!$A$4&gt;=F$50,INDEX([2]DS!$B39:$AK39,1,3*MONTH(F$5&amp;$A$3)-1)/1000,"")</f>
        <v/>
      </c>
      <c r="G28" s="550" t="str">
        <f>IF(T!$A$4&gt;=G$50,INDEX([2]DS!$B39:$AK39,1,3*MONTH(G$5&amp;$A$3)-1)/1000,"")</f>
        <v/>
      </c>
      <c r="H28" s="537" t="str">
        <f>IF(T!$A$4&gt;=H$50,INDEX([2]DS!$B39:$AK39,1,3*MONTH(H$5&amp;$A$3)-1)/1000,"")</f>
        <v/>
      </c>
      <c r="I28" s="552" t="str">
        <f>IF(T!$A$4&gt;=I$50,INDEX([2]DS!$B39:$AK39,1,3*MONTH(I$5&amp;$A$3)-1)/1000,"")</f>
        <v/>
      </c>
      <c r="J28" s="537" t="str">
        <f>IF(T!$A$4&gt;=J$50,INDEX([2]DS!$B39:$AK39,1,3*MONTH(J$5&amp;$A$3)-1)/1000,"")</f>
        <v/>
      </c>
      <c r="K28" s="537" t="str">
        <f>IF(T!$A$4&gt;=K$50,INDEX([2]DS!$B39:$AK39,1,3*MONTH(K$5&amp;$A$3)-1)/1000,"")</f>
        <v/>
      </c>
      <c r="L28" s="552" t="str">
        <f>IF(T!$A$4&gt;=L$50,INDEX([2]DS!$B39:$AK39,1,3*MONTH(L$5&amp;$A$3)-1)/1000,"")</f>
        <v/>
      </c>
      <c r="M28" s="537" t="str">
        <f>IF(T!$A$4&gt;=M$50,INDEX([2]DS!$B39:$AK39,1,3*MONTH(M$5&amp;$A$3)-1)/1000,"")</f>
        <v/>
      </c>
      <c r="N28" s="537" t="str">
        <f>IF(T!$A$4&gt;=N$50,INDEX([2]DS!$B39:$AK39,1,3*MONTH(N$5&amp;$A$3)-1)/1000,"")</f>
        <v/>
      </c>
      <c r="O28" s="537" t="str">
        <f>IF(T!$A$4&gt;=O$50,INDEX([2]DS!$B39:$AK39,1,3*MONTH(O$5&amp;$A$3)-1)/1000,"")</f>
        <v/>
      </c>
      <c r="P28" s="597">
        <f>SUM(D28:O28)</f>
        <v>725.81545753654723</v>
      </c>
    </row>
    <row r="29" spans="1:16" ht="14.1" customHeight="1" x14ac:dyDescent="0.2">
      <c r="A29" s="1021"/>
      <c r="B29" s="100" t="s">
        <v>262</v>
      </c>
      <c r="C29" s="575" t="s">
        <v>398</v>
      </c>
      <c r="D29" s="550">
        <f>IF(T!$A$4&gt;=D$50,INDEX([2]DS!$B39:$AK39,1,3*MONTH(D$5&amp;$A$3))/1000,"")</f>
        <v>4040.0918949251254</v>
      </c>
      <c r="E29" s="550">
        <f>IF(T!$A$4&gt;=E$50,INDEX([2]DS!$B39:$AK39,1,3*MONTH(E$5&amp;$A$3))/1000,"")</f>
        <v>3676.2133806149886</v>
      </c>
      <c r="F29" s="577" t="str">
        <f>IF(T!$A$4&gt;=F$50,INDEX([2]DS!$B39:$AK39,1,3*MONTH(F$5&amp;$A$3))/1000,"")</f>
        <v/>
      </c>
      <c r="G29" s="550" t="str">
        <f>IF(T!$A$4&gt;=G$50,INDEX([2]DS!$B39:$AK39,1,3*MONTH(G$5&amp;$A$3))/1000,"")</f>
        <v/>
      </c>
      <c r="H29" s="537" t="str">
        <f>IF(T!$A$4&gt;=H$50,INDEX([2]DS!$B39:$AK39,1,3*MONTH(H$5&amp;$A$3))/1000,"")</f>
        <v/>
      </c>
      <c r="I29" s="552" t="str">
        <f>IF(T!$A$4&gt;=I$50,INDEX([2]DS!$B39:$AK39,1,3*MONTH(I$5&amp;$A$3))/1000,"")</f>
        <v/>
      </c>
      <c r="J29" s="537" t="str">
        <f>IF(T!$A$4&gt;=J$50,INDEX([2]DS!$B39:$AK39,1,3*MONTH(J$5&amp;$A$3))/1000,"")</f>
        <v/>
      </c>
      <c r="K29" s="537" t="str">
        <f>IF(T!$A$4&gt;=K$50,INDEX([2]DS!$B39:$AK39,1,3*MONTH(K$5&amp;$A$3))/1000,"")</f>
        <v/>
      </c>
      <c r="L29" s="552" t="str">
        <f>IF(T!$A$4&gt;=L$50,INDEX([2]DS!$B39:$AK39,1,3*MONTH(L$5&amp;$A$3))/1000,"")</f>
        <v/>
      </c>
      <c r="M29" s="537" t="str">
        <f>IF(T!$A$4&gt;=M$50,INDEX([2]DS!$B39:$AK39,1,3*MONTH(M$5&amp;$A$3))/1000,"")</f>
        <v/>
      </c>
      <c r="N29" s="537" t="str">
        <f>IF(T!$A$4&gt;=N$50,INDEX([2]DS!$B39:$AK39,1,3*MONTH(N$5&amp;$A$3))/1000,"")</f>
        <v/>
      </c>
      <c r="O29" s="537" t="str">
        <f>IF(T!$A$4&gt;=O$50,INDEX([2]DS!$B39:$AK39,1,3*MONTH(O$5&amp;$A$3))/1000,"")</f>
        <v/>
      </c>
      <c r="P29" s="597">
        <f t="shared" ref="P29" si="5">SUM(D29:O29)</f>
        <v>7716.3052755401141</v>
      </c>
    </row>
    <row r="30" spans="1:16" ht="14.1" customHeight="1" x14ac:dyDescent="0.2">
      <c r="A30" s="1021"/>
      <c r="B30" s="873" t="s">
        <v>260</v>
      </c>
      <c r="C30" s="874" t="s">
        <v>254</v>
      </c>
      <c r="D30" s="875">
        <f>IF(T!$A$4&gt;=D$50,D28/D$40,"")</f>
        <v>0.35152066884388633</v>
      </c>
      <c r="E30" s="875">
        <f>IF(T!$A$4&gt;=E$50,E28/E$40,"")</f>
        <v>0.34926201708418608</v>
      </c>
      <c r="F30" s="876" t="str">
        <f>IF(T!$A$4&gt;=F$50,F28/F$40,"")</f>
        <v/>
      </c>
      <c r="G30" s="875" t="str">
        <f>IF(T!$A$4&gt;=G$50,G28/G$40,"")</f>
        <v/>
      </c>
      <c r="H30" s="877" t="str">
        <f>IF(T!$A$4&gt;=H$50,H28/H$40,"")</f>
        <v/>
      </c>
      <c r="I30" s="878" t="str">
        <f>IF(T!$A$4&gt;=I$50,I28/I$40,"")</f>
        <v/>
      </c>
      <c r="J30" s="877" t="str">
        <f>IF(T!$A$4&gt;=J$50,J28/J$40,"")</f>
        <v/>
      </c>
      <c r="K30" s="877" t="str">
        <f>IF(T!$A$4&gt;=K$50,K28/K$40,"")</f>
        <v/>
      </c>
      <c r="L30" s="878" t="str">
        <f>IF(T!$A$4&gt;=L$50,L28/L$40,"")</f>
        <v/>
      </c>
      <c r="M30" s="877" t="str">
        <f>IF(T!$A$4&gt;=M$50,M28/M$40,"")</f>
        <v/>
      </c>
      <c r="N30" s="877" t="str">
        <f>IF(T!$A$4&gt;=N$50,N28/N$40,"")</f>
        <v/>
      </c>
      <c r="O30" s="877" t="str">
        <f>IF(T!$A$4&gt;=O$50,O28/O$40,"")</f>
        <v/>
      </c>
      <c r="P30" s="879">
        <f t="shared" ref="P30" si="6">P28/P$40</f>
        <v>0.35044118776889271</v>
      </c>
    </row>
    <row r="31" spans="1:16" ht="14.1" customHeight="1" x14ac:dyDescent="0.2">
      <c r="A31" s="1021"/>
      <c r="B31" s="100" t="s">
        <v>0</v>
      </c>
      <c r="C31" s="575"/>
      <c r="D31" s="810">
        <f>IF(T!$A$4&gt;=D$50,INDEX([2]DS!$B39:$AK39,1,3*MONTH(D$5&amp;$A$3)-2),"")</f>
        <v>2642786</v>
      </c>
      <c r="E31" s="810">
        <f>IF(T!$A$4&gt;=E$50,INDEX([2]DS!$B39:$AK39,1,3*MONTH(E$5&amp;$A$3)-2),"")</f>
        <v>2642487</v>
      </c>
      <c r="F31" s="811" t="str">
        <f>IF(T!$A$4&gt;=F$50,INDEX([2]DS!$B39:$AK39,1,3*MONTH(F$5&amp;$A$3)-2),"")</f>
        <v/>
      </c>
      <c r="G31" s="810" t="str">
        <f>IF(T!$A$4&gt;=G$50,INDEX([2]DS!$B39:$AK39,1,3*MONTH(G$5&amp;$A$3)-2),"")</f>
        <v/>
      </c>
      <c r="H31" s="809" t="str">
        <f>IF(T!$A$4&gt;=H$50,INDEX([2]DS!$B39:$AK39,1,3*MONTH(H$5&amp;$A$3)-2),"")</f>
        <v/>
      </c>
      <c r="I31" s="812" t="str">
        <f>IF(T!$A$4&gt;=I$50,INDEX([2]DS!$B39:$AK39,1,3*MONTH(I$5&amp;$A$3)-2),"")</f>
        <v/>
      </c>
      <c r="J31" s="809" t="str">
        <f>IF(T!$A$4&gt;=J$50,INDEX([2]DS!$B39:$AK39,1,3*MONTH(J$5&amp;$A$3)-2),"")</f>
        <v/>
      </c>
      <c r="K31" s="809" t="str">
        <f>IF(T!$A$4&gt;=K$50,INDEX([2]DS!$B39:$AK39,1,3*MONTH(K$5&amp;$A$3)-2),"")</f>
        <v/>
      </c>
      <c r="L31" s="812" t="str">
        <f>IF(T!$A$4&gt;=L$50,INDEX([2]DS!$B39:$AK39,1,3*MONTH(L$5&amp;$A$3)-2),"")</f>
        <v/>
      </c>
      <c r="M31" s="809" t="str">
        <f>IF(T!$A$4&gt;=M$50,INDEX([2]DS!$B39:$AK39,1,3*MONTH(M$5&amp;$A$3)-2),"")</f>
        <v/>
      </c>
      <c r="N31" s="809" t="str">
        <f>IF(T!$A$4&gt;=N$50,INDEX([2]DS!$B39:$AK39,1,3*MONTH(N$5&amp;$A$3)-2),"")</f>
        <v/>
      </c>
      <c r="O31" s="809" t="str">
        <f>IF(T!$A$4&gt;=O$50,INDEX([2]DS!$B39:$AK39,1,3*MONTH(O$5&amp;$A$3)-2),"")</f>
        <v/>
      </c>
      <c r="P31" s="824" t="str">
        <f>O31</f>
        <v/>
      </c>
    </row>
    <row r="32" spans="1:16" ht="14.1" customHeight="1" x14ac:dyDescent="0.2">
      <c r="A32" s="1021"/>
      <c r="B32" s="576" t="s">
        <v>261</v>
      </c>
      <c r="C32" s="575" t="s">
        <v>254</v>
      </c>
      <c r="D32" s="813">
        <f>IF(T!$A$4&gt;=D$50,D31/D$42,"")</f>
        <v>0.92757062813163793</v>
      </c>
      <c r="E32" s="821">
        <f>IF(T!$A$4&gt;=E$50,E31/E$42,"")</f>
        <v>0.92757963183068792</v>
      </c>
      <c r="F32" s="814" t="str">
        <f>IF(T!$A$4&gt;=F$50,F31/F$42,"")</f>
        <v/>
      </c>
      <c r="G32" s="813" t="str">
        <f>IF(T!$A$4&gt;=G$50,G31/G$42,"")</f>
        <v/>
      </c>
      <c r="H32" s="391" t="str">
        <f>IF(T!$A$4&gt;=H$50,H31/H$42,"")</f>
        <v/>
      </c>
      <c r="I32" s="815" t="str">
        <f>IF(T!$A$4&gt;=I$50,I31/I$42,"")</f>
        <v/>
      </c>
      <c r="J32" s="391" t="str">
        <f>IF(T!$A$4&gt;=J$50,J31/J$42,"")</f>
        <v/>
      </c>
      <c r="K32" s="391" t="str">
        <f>IF(T!$A$4&gt;=K$50,K31/K$42,"")</f>
        <v/>
      </c>
      <c r="L32" s="815" t="str">
        <f>IF(T!$A$4&gt;=L$50,L31/L$42,"")</f>
        <v/>
      </c>
      <c r="M32" s="391" t="str">
        <f>IF(T!$A$4&gt;=M$50,M31/M$42,"")</f>
        <v/>
      </c>
      <c r="N32" s="391" t="str">
        <f>IF(T!$A$4&gt;=N$50,N31/N$42,"")</f>
        <v/>
      </c>
      <c r="O32" s="391" t="str">
        <f>IF(T!$A$4&gt;=O$50,O31/O$42,"")</f>
        <v/>
      </c>
      <c r="P32" s="822" t="str">
        <f>IF(T!$A$4&gt;=O$50,P31/P$42,"")</f>
        <v/>
      </c>
    </row>
    <row r="33" spans="1:16" ht="5.0999999999999996" customHeight="1" x14ac:dyDescent="0.2">
      <c r="A33" s="1022"/>
      <c r="B33" s="586"/>
      <c r="C33" s="584"/>
      <c r="D33" s="554"/>
      <c r="E33" s="554"/>
      <c r="F33" s="585"/>
      <c r="G33" s="554"/>
      <c r="H33" s="556"/>
      <c r="I33" s="557"/>
      <c r="J33" s="556"/>
      <c r="K33" s="556"/>
      <c r="L33" s="557"/>
      <c r="M33" s="556"/>
      <c r="N33" s="556"/>
      <c r="O33" s="556"/>
      <c r="P33" s="598"/>
    </row>
    <row r="34" spans="1:16" ht="5.0999999999999996" customHeight="1" x14ac:dyDescent="0.2">
      <c r="A34" s="1030" t="s">
        <v>179</v>
      </c>
      <c r="B34" s="526"/>
      <c r="C34" s="588"/>
      <c r="D34" s="589"/>
      <c r="E34" s="589"/>
      <c r="F34" s="590"/>
      <c r="G34" s="589"/>
      <c r="H34" s="589"/>
      <c r="I34" s="590"/>
      <c r="J34" s="589"/>
      <c r="K34" s="589"/>
      <c r="L34" s="590"/>
      <c r="M34" s="589"/>
      <c r="N34" s="589"/>
      <c r="O34" s="589"/>
      <c r="P34" s="599"/>
    </row>
    <row r="35" spans="1:16" ht="14.1" customHeight="1" x14ac:dyDescent="0.2">
      <c r="A35" s="1031"/>
      <c r="B35" s="100" t="s">
        <v>262</v>
      </c>
      <c r="C35" s="575" t="s">
        <v>253</v>
      </c>
      <c r="D35" s="550">
        <f>IF(T!$A$4&gt;=D$50,INDEX([2]DS!$B40:$AK40,1,3*MONTH(D$5&amp;$A$3)-1)/1000,"")</f>
        <v>20.659968092408928</v>
      </c>
      <c r="E35" s="550">
        <f>IF(T!$A$4&gt;=E$50,INDEX([2]DS!$B40:$AK40,1,3*MONTH(E$5&amp;$A$3)-1)/1000,"")</f>
        <v>20.358369064683973</v>
      </c>
      <c r="F35" s="577" t="str">
        <f>IF(T!$A$4&gt;=F$50,INDEX([2]DS!$B40:$AK40,1,3*MONTH(F$5&amp;$A$3)-1)/1000,"")</f>
        <v/>
      </c>
      <c r="G35" s="550" t="str">
        <f>IF(T!$A$4&gt;=G$50,INDEX([2]DS!$B40:$AK40,1,3*MONTH(G$5&amp;$A$3)-1)/1000,"")</f>
        <v/>
      </c>
      <c r="H35" s="537" t="str">
        <f>IF(T!$A$4&gt;=H$50,INDEX([2]DS!$B40:$AK40,1,3*MONTH(H$5&amp;$A$3)-1)/1000,"")</f>
        <v/>
      </c>
      <c r="I35" s="552" t="str">
        <f>IF(T!$A$4&gt;=I$50,INDEX([2]DS!$B40:$AK40,1,3*MONTH(I$5&amp;$A$3)-1)/1000,"")</f>
        <v/>
      </c>
      <c r="J35" s="537" t="str">
        <f>IF(T!$A$4&gt;=J$50,INDEX([2]DS!$B40:$AK40,1,3*MONTH(J$5&amp;$A$3)-1)/1000,"")</f>
        <v/>
      </c>
      <c r="K35" s="537" t="str">
        <f>IF(T!$A$4&gt;=K$50,INDEX([2]DS!$B40:$AK40,1,3*MONTH(K$5&amp;$A$3)-1)/1000,"")</f>
        <v/>
      </c>
      <c r="L35" s="552" t="str">
        <f>IF(T!$A$4&gt;=L$50,INDEX([2]DS!$B40:$AK40,1,3*MONTH(L$5&amp;$A$3)-1)/1000,"")</f>
        <v/>
      </c>
      <c r="M35" s="537" t="str">
        <f>IF(T!$A$4&gt;=M$50,INDEX([2]DS!$B40:$AK40,1,3*MONTH(M$5&amp;$A$3)-1)/1000,"")</f>
        <v/>
      </c>
      <c r="N35" s="537" t="str">
        <f>IF(T!$A$4&gt;=N$50,INDEX([2]DS!$B40:$AK40,1,3*MONTH(N$5&amp;$A$3)-1)/1000,"")</f>
        <v/>
      </c>
      <c r="O35" s="537" t="str">
        <f>IF(T!$A$4&gt;=O$50,INDEX([2]DS!$B40:$AK40,1,3*MONTH(O$5&amp;$A$3)-1)/1000,"")</f>
        <v/>
      </c>
      <c r="P35" s="597">
        <f>SUM(D35:O35)</f>
        <v>41.018337157092901</v>
      </c>
    </row>
    <row r="36" spans="1:16" ht="14.1" customHeight="1" x14ac:dyDescent="0.2">
      <c r="A36" s="1031"/>
      <c r="B36" s="100" t="s">
        <v>262</v>
      </c>
      <c r="C36" s="575" t="s">
        <v>398</v>
      </c>
      <c r="D36" s="550">
        <f>IF(T!$A$4&gt;=D$50,INDEX([2]DS!$B40:$AK40,1,3*MONTH(D$5&amp;$A$3))/1000,"")</f>
        <v>219.62695818</v>
      </c>
      <c r="E36" s="550">
        <f>IF(T!$A$4&gt;=E$50,INDEX([2]DS!$B40:$AK40,1,3*MONTH(E$5&amp;$A$3))/1000,"")</f>
        <v>216.47732603215218</v>
      </c>
      <c r="F36" s="577" t="str">
        <f>IF(T!$A$4&gt;=F$50,INDEX([2]DS!$B40:$AK40,1,3*MONTH(F$5&amp;$A$3))/1000,"")</f>
        <v/>
      </c>
      <c r="G36" s="550" t="str">
        <f>IF(T!$A$4&gt;=G$50,INDEX([2]DS!$B40:$AK40,1,3*MONTH(G$5&amp;$A$3))/1000,"")</f>
        <v/>
      </c>
      <c r="H36" s="537" t="str">
        <f>IF(T!$A$4&gt;=H$50,INDEX([2]DS!$B40:$AK40,1,3*MONTH(H$5&amp;$A$3))/1000,"")</f>
        <v/>
      </c>
      <c r="I36" s="552" t="str">
        <f>IF(T!$A$4&gt;=I$50,INDEX([2]DS!$B40:$AK40,1,3*MONTH(I$5&amp;$A$3))/1000,"")</f>
        <v/>
      </c>
      <c r="J36" s="537" t="str">
        <f>IF(T!$A$4&gt;=J$50,INDEX([2]DS!$B40:$AK40,1,3*MONTH(J$5&amp;$A$3))/1000,"")</f>
        <v/>
      </c>
      <c r="K36" s="537" t="str">
        <f>IF(T!$A$4&gt;=K$50,INDEX([2]DS!$B40:$AK40,1,3*MONTH(K$5&amp;$A$3))/1000,"")</f>
        <v/>
      </c>
      <c r="L36" s="552" t="str">
        <f>IF(T!$A$4&gt;=L$50,INDEX([2]DS!$B40:$AK40,1,3*MONTH(L$5&amp;$A$3))/1000,"")</f>
        <v/>
      </c>
      <c r="M36" s="537" t="str">
        <f>IF(T!$A$4&gt;=M$50,INDEX([2]DS!$B40:$AK40,1,3*MONTH(M$5&amp;$A$3))/1000,"")</f>
        <v/>
      </c>
      <c r="N36" s="537" t="str">
        <f>IF(T!$A$4&gt;=N$50,INDEX([2]DS!$B40:$AK40,1,3*MONTH(N$5&amp;$A$3))/1000,"")</f>
        <v/>
      </c>
      <c r="O36" s="537" t="str">
        <f>IF(T!$A$4&gt;=O$50,INDEX([2]DS!$B40:$AK40,1,3*MONTH(O$5&amp;$A$3))/1000,"")</f>
        <v/>
      </c>
      <c r="P36" s="597">
        <f>SUM(D36:O36)</f>
        <v>436.10428421215215</v>
      </c>
    </row>
    <row r="37" spans="1:16" ht="14.1" customHeight="1" x14ac:dyDescent="0.2">
      <c r="A37" s="1031"/>
      <c r="B37" s="576" t="s">
        <v>260</v>
      </c>
      <c r="C37" s="583" t="s">
        <v>254</v>
      </c>
      <c r="D37" s="813">
        <f>IF(T!$A$4&gt;=D$50,D35/D$40,"")</f>
        <v>1.9106941752912325E-2</v>
      </c>
      <c r="E37" s="813">
        <f>IF(T!$A$4&gt;=E$50,E35/E$40,"")</f>
        <v>2.0566773118615787E-2</v>
      </c>
      <c r="F37" s="814" t="str">
        <f>IF(T!$A$4&gt;=F$50,F35/F$40,"")</f>
        <v/>
      </c>
      <c r="G37" s="813" t="str">
        <f>IF(T!$A$4&gt;=G$50,G35/G$40,"")</f>
        <v/>
      </c>
      <c r="H37" s="391" t="str">
        <f>IF(T!$A$4&gt;=H$50,H35/H$40,"")</f>
        <v/>
      </c>
      <c r="I37" s="815" t="str">
        <f>IF(T!$A$4&gt;=I$50,I35/I$40,"")</f>
        <v/>
      </c>
      <c r="J37" s="391" t="str">
        <f>IF(T!$A$4&gt;=J$50,J35/J$40,"")</f>
        <v/>
      </c>
      <c r="K37" s="391" t="str">
        <f>IF(T!$A$4&gt;=K$50,K35/K$40,"")</f>
        <v/>
      </c>
      <c r="L37" s="815" t="str">
        <f>IF(T!$A$4&gt;=L$50,L35/L$40,"")</f>
        <v/>
      </c>
      <c r="M37" s="391" t="str">
        <f>IF(T!$A$4&gt;=M$50,M35/M$40,"")</f>
        <v/>
      </c>
      <c r="N37" s="391" t="str">
        <f>IF(T!$A$4&gt;=N$50,N35/N$40,"")</f>
        <v/>
      </c>
      <c r="O37" s="391" t="str">
        <f>IF(T!$A$4&gt;=O$50,O35/O$40,"")</f>
        <v/>
      </c>
      <c r="P37" s="822">
        <f t="shared" ref="P37" si="7">P35/P$40</f>
        <v>1.9804641309823217E-2</v>
      </c>
    </row>
    <row r="38" spans="1:16" ht="5.0999999999999996" customHeight="1" thickBot="1" x14ac:dyDescent="0.25">
      <c r="A38" s="1032"/>
      <c r="B38" s="591"/>
      <c r="C38" s="592"/>
      <c r="D38" s="593"/>
      <c r="E38" s="593"/>
      <c r="F38" s="593"/>
      <c r="G38" s="591"/>
      <c r="H38" s="593"/>
      <c r="I38" s="594"/>
      <c r="J38" s="593"/>
      <c r="K38" s="593"/>
      <c r="L38" s="593"/>
      <c r="M38" s="591"/>
      <c r="N38" s="593"/>
      <c r="O38" s="593"/>
      <c r="P38" s="600"/>
    </row>
    <row r="39" spans="1:16" ht="5.0999999999999996" customHeight="1" thickTop="1" x14ac:dyDescent="0.2">
      <c r="A39" s="1033" t="s">
        <v>5</v>
      </c>
      <c r="B39" s="605"/>
      <c r="C39" s="606"/>
      <c r="D39" s="607"/>
      <c r="E39" s="607"/>
      <c r="F39" s="608"/>
      <c r="G39" s="607"/>
      <c r="H39" s="607"/>
      <c r="I39" s="608"/>
      <c r="J39" s="607"/>
      <c r="K39" s="607"/>
      <c r="L39" s="608"/>
      <c r="M39" s="607"/>
      <c r="N39" s="607"/>
      <c r="O39" s="607"/>
      <c r="P39" s="609"/>
    </row>
    <row r="40" spans="1:16" x14ac:dyDescent="0.2">
      <c r="A40" s="1033"/>
      <c r="B40" s="571" t="s">
        <v>262</v>
      </c>
      <c r="C40" s="573" t="s">
        <v>253</v>
      </c>
      <c r="D40" s="529">
        <f>IF(T!$A$4&gt;=D$50,D7+D14+D21+D28+D35,"")</f>
        <v>1081.2807386749837</v>
      </c>
      <c r="E40" s="530">
        <f>IF(T!$A$4&gt;=E$50,E7+E14+E21+E28+E35,"")</f>
        <v>989.86695420181502</v>
      </c>
      <c r="F40" s="531" t="str">
        <f>IF(T!$A$4&gt;=F$50,F7+F14+F21+F28+F35,"")</f>
        <v/>
      </c>
      <c r="G40" s="530" t="str">
        <f>IF(T!$A$4&gt;=G$50,G7+G14+G21+G28+G35,"")</f>
        <v/>
      </c>
      <c r="H40" s="529" t="str">
        <f>IF(T!$A$4&gt;=H$50,H7+H14+H21+H28+H35,"")</f>
        <v/>
      </c>
      <c r="I40" s="532" t="str">
        <f>IF(T!$A$4&gt;=I$50,I7+I14+I21+I28+I35,"")</f>
        <v/>
      </c>
      <c r="J40" s="529" t="str">
        <f>IF(T!$A$4&gt;=J$50,J7+J14+J21+J28+J35,"")</f>
        <v/>
      </c>
      <c r="K40" s="529" t="str">
        <f>IF(T!$A$4&gt;=K$50,K7+K14+K21+K28+K35,"")</f>
        <v/>
      </c>
      <c r="L40" s="532" t="str">
        <f>IF(T!$A$4&gt;=L$50,L7+L14+L21+L28+L35,"")</f>
        <v/>
      </c>
      <c r="M40" s="529" t="str">
        <f>IF(T!$A$4&gt;=M$50,M7+M14+M21+M28+M35,"")</f>
        <v/>
      </c>
      <c r="N40" s="529" t="str">
        <f>IF(T!$A$4&gt;=N$50,N7+N14+N21+N28+N35,"")</f>
        <v/>
      </c>
      <c r="O40" s="529" t="str">
        <f>IF(T!$A$4&gt;=O$50,O7+O14+O21+O28+O35,"")</f>
        <v/>
      </c>
      <c r="P40" s="602">
        <f>SUM(D40:O40)</f>
        <v>2071.1476928767988</v>
      </c>
    </row>
    <row r="41" spans="1:16" x14ac:dyDescent="0.2">
      <c r="A41" s="1033"/>
      <c r="B41" s="880" t="s">
        <v>262</v>
      </c>
      <c r="C41" s="881" t="s">
        <v>398</v>
      </c>
      <c r="D41" s="882">
        <f>IF(T!$A$4&gt;=D$50,D8+D15+D22+D29+D36,"")</f>
        <v>11492.758327891857</v>
      </c>
      <c r="E41" s="882">
        <f>IF(T!$A$4&gt;=E$50,E8+E15+E22+E29+E36,"")</f>
        <v>10525.401374383</v>
      </c>
      <c r="F41" s="883" t="str">
        <f>IF(T!$A$4&gt;=F$50,F8+F15+F22+F29+F36,"")</f>
        <v/>
      </c>
      <c r="G41" s="882" t="str">
        <f>IF(T!$A$4&gt;=G$50,G8+G15+G22+G29+G36,"")</f>
        <v/>
      </c>
      <c r="H41" s="884" t="str">
        <f>IF(T!$A$4&gt;=H$50,H8+H15+H22+H29+H36,"")</f>
        <v/>
      </c>
      <c r="I41" s="885" t="str">
        <f>IF(T!$A$4&gt;=I$50,I8+I15+I22+I29+I36,"")</f>
        <v/>
      </c>
      <c r="J41" s="884" t="str">
        <f>IF(T!$A$4&gt;=J$50,J8+J15+J22+J29+J36,"")</f>
        <v/>
      </c>
      <c r="K41" s="884" t="str">
        <f>IF(T!$A$4&gt;=K$50,K8+K15+K22+K29+K36,"")</f>
        <v/>
      </c>
      <c r="L41" s="885" t="str">
        <f>IF(T!$A$4&gt;=L$50,L8+L15+L22+L29+L36,"")</f>
        <v/>
      </c>
      <c r="M41" s="884" t="str">
        <f>IF(T!$A$4&gt;=M$50,M8+M15+M22+M29+M36,"")</f>
        <v/>
      </c>
      <c r="N41" s="884" t="str">
        <f>IF(T!$A$4&gt;=N$50,N8+N15+N22+N29+N36,"")</f>
        <v/>
      </c>
      <c r="O41" s="884" t="str">
        <f>IF(T!$A$4&gt;=O$50,O8+O15+O22+O29+O36,"")</f>
        <v/>
      </c>
      <c r="P41" s="886">
        <f t="shared" ref="P41" si="8">SUM(D41:O41)</f>
        <v>22018.159702274857</v>
      </c>
    </row>
    <row r="42" spans="1:16" x14ac:dyDescent="0.2">
      <c r="A42" s="1033"/>
      <c r="B42" s="571" t="s">
        <v>0</v>
      </c>
      <c r="C42" s="573"/>
      <c r="D42" s="816">
        <f>IF(T!$A$4&gt;=D$50,SUM(D10+D17+D24+D31),"")</f>
        <v>2849148</v>
      </c>
      <c r="E42" s="816">
        <f>IF(T!$A$4&gt;=E$50,SUM(E10+E17+E24+E31),"")</f>
        <v>2848798</v>
      </c>
      <c r="F42" s="817" t="str">
        <f>IF(T!$A$4&gt;=F$50,SUM(F10+F17+F24+F31),"")</f>
        <v/>
      </c>
      <c r="G42" s="816" t="str">
        <f>IF(T!$A$4&gt;=G$50,SUM(G10+G17+G24+G31),"")</f>
        <v/>
      </c>
      <c r="H42" s="818" t="str">
        <f>IF(T!$A$4&gt;=H$50,SUM(H10+H17+H24+H31),"")</f>
        <v/>
      </c>
      <c r="I42" s="819" t="str">
        <f>IF(T!$A$4&gt;=I$50,SUM(I10+I17+I24+I31),"")</f>
        <v/>
      </c>
      <c r="J42" s="818" t="str">
        <f>IF(T!$A$4&gt;=J$50,SUM(J10+J17+J24+J31),"")</f>
        <v/>
      </c>
      <c r="K42" s="818" t="str">
        <f>IF(T!$A$4&gt;=K$50,SUM(K10+K17+K24+K31),"")</f>
        <v/>
      </c>
      <c r="L42" s="819" t="str">
        <f>IF(T!$A$4&gt;=L$50,SUM(L10+L17+L24+L31),"")</f>
        <v/>
      </c>
      <c r="M42" s="818" t="str">
        <f>IF(T!$A$4&gt;=M$50,SUM(M10+M17+M24+M31),"")</f>
        <v/>
      </c>
      <c r="N42" s="818" t="str">
        <f>IF(T!$A$4&gt;=N$50,SUM(N10+N17+N24+N31),"")</f>
        <v/>
      </c>
      <c r="O42" s="818" t="str">
        <f>IF(T!$A$4&gt;=O$50,SUM(O10+O17+O24+O31),"")</f>
        <v/>
      </c>
      <c r="P42" s="825" t="str">
        <f>O42</f>
        <v/>
      </c>
    </row>
    <row r="43" spans="1:16" ht="5.0999999999999996" customHeight="1" x14ac:dyDescent="0.2">
      <c r="A43" s="1034"/>
      <c r="B43" s="616"/>
      <c r="C43" s="617"/>
      <c r="D43" s="611"/>
      <c r="E43" s="611"/>
      <c r="F43" s="612"/>
      <c r="G43" s="611"/>
      <c r="H43" s="613"/>
      <c r="I43" s="614"/>
      <c r="J43" s="613"/>
      <c r="K43" s="613"/>
      <c r="L43" s="614"/>
      <c r="M43" s="613"/>
      <c r="N43" s="613"/>
      <c r="O43" s="613"/>
      <c r="P43" s="615"/>
    </row>
    <row r="44" spans="1:16" ht="5.0999999999999996" customHeight="1" x14ac:dyDescent="0.2">
      <c r="B44" s="517"/>
      <c r="C44" s="587"/>
      <c r="G44" s="517"/>
      <c r="H44" s="508"/>
      <c r="I44" s="507"/>
      <c r="M44" s="517"/>
      <c r="N44" s="508"/>
      <c r="O44" s="508"/>
      <c r="P44" s="601"/>
    </row>
    <row r="45" spans="1:16" x14ac:dyDescent="0.2">
      <c r="P45" s="39"/>
    </row>
    <row r="46" spans="1:16" ht="5.0999999999999996" customHeight="1" x14ac:dyDescent="0.2">
      <c r="A46" s="39"/>
      <c r="B46" s="39"/>
      <c r="C46" s="905"/>
      <c r="D46" s="906"/>
      <c r="E46" s="39"/>
      <c r="F46" s="907"/>
      <c r="G46" s="39"/>
      <c r="H46" s="39"/>
      <c r="I46" s="39"/>
      <c r="J46" s="906"/>
      <c r="K46" s="39"/>
      <c r="L46" s="907"/>
      <c r="M46" s="39"/>
      <c r="N46" s="39"/>
      <c r="O46" s="39"/>
      <c r="P46" s="908"/>
    </row>
    <row r="47" spans="1:16" x14ac:dyDescent="0.2">
      <c r="A47" s="1028" t="s">
        <v>399</v>
      </c>
      <c r="B47" s="1028"/>
      <c r="C47" s="909" t="s">
        <v>400</v>
      </c>
      <c r="D47" s="913">
        <f>IF(T!$A$4&gt;=D$50,INDEX('[9]2015'!$B$6:$AW$6,1,4*D$50-3)/1000,"")</f>
        <v>32.793244577459717</v>
      </c>
      <c r="E47" s="915">
        <f>IF(T!$A$4&gt;=E$50,INDEX('[9]2015'!$B$6:$AW$6,1,4*E$50-3)/1000,"")</f>
        <v>26.878778310959721</v>
      </c>
      <c r="F47" s="916" t="str">
        <f>IF(T!$A$4&gt;=F$50,INDEX('[9]2015'!$B$6:$AW$6,1,4*F$50-3)/1000,"")</f>
        <v/>
      </c>
      <c r="G47" s="915" t="str">
        <f>IF(T!$A$4&gt;=G$50,INDEX('[9]2015'!$B$6:$AW$6,1,4*G$50-3)/1000,"")</f>
        <v/>
      </c>
      <c r="H47" s="915" t="str">
        <f>IF(T!$A$4&gt;=H$50,INDEX('[9]2015'!$B$6:$AW$6,1,4*H$50-3)/1000,"")</f>
        <v/>
      </c>
      <c r="I47" s="915" t="str">
        <f>IF(T!$A$4&gt;=I$50,INDEX('[9]2015'!$B$6:$AW$6,1,4*I$50-3)/1000,"")</f>
        <v/>
      </c>
      <c r="J47" s="913" t="str">
        <f>IF(T!$A$4&gt;=J$50,INDEX('[9]2015'!$B$6:$AW$6,1,4*J$50-3)/1000,"")</f>
        <v/>
      </c>
      <c r="K47" s="915" t="str">
        <f>IF(T!$A$4&gt;=K$50,INDEX('[9]2015'!$B$6:$AW$6,1,4*K$50-3)/1000,"")</f>
        <v/>
      </c>
      <c r="L47" s="916" t="str">
        <f>IF(T!$A$4&gt;=L$50,INDEX('[9]2015'!$B$6:$AW$6,1,4*L$50-3)/1000,"")</f>
        <v/>
      </c>
      <c r="M47" s="915" t="str">
        <f>IF(T!$A$4&gt;=M$50,INDEX('[9]2015'!$B$6:$AW$6,1,4*M$50-3)/1000,"")</f>
        <v/>
      </c>
      <c r="N47" s="915" t="str">
        <f>IF(T!$A$4&gt;=N$50,INDEX('[9]2015'!$B$6:$AW$6,1,4*N$50-3)/1000,"")</f>
        <v/>
      </c>
      <c r="O47" s="915" t="str">
        <f>IF(T!$A$4&gt;=O$50,INDEX('[9]2015'!$B$6:$AW$6,1,4*O$50-3)/1000,"")</f>
        <v/>
      </c>
      <c r="P47" s="910">
        <f>SUM(D47:O47)</f>
        <v>59.672022888419434</v>
      </c>
    </row>
    <row r="48" spans="1:16" x14ac:dyDescent="0.2">
      <c r="A48" s="1029" t="s">
        <v>399</v>
      </c>
      <c r="B48" s="1029"/>
      <c r="C48" s="911" t="s">
        <v>398</v>
      </c>
      <c r="D48" s="914">
        <f>IF(T!$A$4&gt;=D$50,INDEX('[9]2015'!$B$6:$AW$6,1,4*D$50-2)/1000,"")</f>
        <v>348.5541000000004</v>
      </c>
      <c r="E48" s="917">
        <f>IF(T!$A$4&gt;=E$50,INDEX('[9]2015'!$B$6:$AW$6,1,4*E$50-2)/1000,"")</f>
        <v>285.80650999999995</v>
      </c>
      <c r="F48" s="918" t="str">
        <f>IF(T!$A$4&gt;=F$50,INDEX('[9]2015'!$B$6:$AW$6,1,4*F$50-2)/1000,"")</f>
        <v/>
      </c>
      <c r="G48" s="917" t="str">
        <f>IF(T!$A$4&gt;=G$50,INDEX('[9]2015'!$B$6:$AW$6,1,4*G$50-2)/1000,"")</f>
        <v/>
      </c>
      <c r="H48" s="917" t="str">
        <f>IF(T!$A$4&gt;=H$50,INDEX('[9]2015'!$B$6:$AW$6,1,4*H$50-2)/1000,"")</f>
        <v/>
      </c>
      <c r="I48" s="917" t="str">
        <f>IF(T!$A$4&gt;=I$50,INDEX('[9]2015'!$B$6:$AW$6,1,4*I$50-2)/1000,"")</f>
        <v/>
      </c>
      <c r="J48" s="914" t="str">
        <f>IF(T!$A$4&gt;=J$50,INDEX('[9]2015'!$B$6:$AW$6,1,4*J$50-2)/1000,"")</f>
        <v/>
      </c>
      <c r="K48" s="917" t="str">
        <f>IF(T!$A$4&gt;=K$50,INDEX('[9]2015'!$B$6:$AW$6,1,4*K$50-2)/1000,"")</f>
        <v/>
      </c>
      <c r="L48" s="918" t="str">
        <f>IF(T!$A$4&gt;=L$50,INDEX('[9]2015'!$B$6:$AW$6,1,4*L$50-2)/1000,"")</f>
        <v/>
      </c>
      <c r="M48" s="917" t="str">
        <f>IF(T!$A$4&gt;=M$50,INDEX('[9]2015'!$B$6:$AW$6,1,4*M$50-2)/1000,"")</f>
        <v/>
      </c>
      <c r="N48" s="917" t="str">
        <f>IF(T!$A$4&gt;=N$50,INDEX('[9]2015'!$B$6:$AW$6,1,4*N$50-2)/1000,"")</f>
        <v/>
      </c>
      <c r="O48" s="917" t="str">
        <f>IF(T!$A$4&gt;=O$50,INDEX('[9]2015'!$B$6:$AW$6,1,4*O$50-2)/1000,"")</f>
        <v/>
      </c>
      <c r="P48" s="912">
        <f>SUM(D48:O48)</f>
        <v>634.36061000000041</v>
      </c>
    </row>
    <row r="49" spans="1:16" ht="5.0999999999999996" customHeight="1" x14ac:dyDescent="0.2">
      <c r="A49" s="39"/>
      <c r="B49" s="39"/>
      <c r="C49" s="905"/>
      <c r="D49" s="906"/>
      <c r="E49" s="39"/>
      <c r="F49" s="907"/>
      <c r="G49" s="39"/>
      <c r="H49" s="39"/>
      <c r="I49" s="39"/>
      <c r="J49" s="906"/>
      <c r="K49" s="39"/>
      <c r="L49" s="907"/>
      <c r="M49" s="39"/>
      <c r="N49" s="39"/>
      <c r="O49" s="39"/>
      <c r="P49" s="908"/>
    </row>
    <row r="50" spans="1:16" x14ac:dyDescent="0.2">
      <c r="D50" s="827">
        <v>1</v>
      </c>
      <c r="E50" s="827">
        <v>2</v>
      </c>
      <c r="F50" s="827">
        <v>3</v>
      </c>
      <c r="G50" s="827">
        <v>4</v>
      </c>
      <c r="H50" s="827">
        <v>5</v>
      </c>
      <c r="I50" s="827">
        <v>6</v>
      </c>
      <c r="J50" s="827">
        <v>7</v>
      </c>
      <c r="K50" s="827">
        <v>8</v>
      </c>
      <c r="L50" s="827">
        <v>9</v>
      </c>
      <c r="M50" s="827">
        <v>10</v>
      </c>
      <c r="N50" s="827">
        <v>11</v>
      </c>
      <c r="O50" s="827">
        <v>12</v>
      </c>
    </row>
  </sheetData>
  <mergeCells count="12">
    <mergeCell ref="A47:B47"/>
    <mergeCell ref="A48:B48"/>
    <mergeCell ref="A20:A26"/>
    <mergeCell ref="A27:A33"/>
    <mergeCell ref="A34:A38"/>
    <mergeCell ref="A39:A43"/>
    <mergeCell ref="O1:P1"/>
    <mergeCell ref="A2:P2"/>
    <mergeCell ref="A3:P3"/>
    <mergeCell ref="A6:A12"/>
    <mergeCell ref="A13:A19"/>
    <mergeCell ref="B5:C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9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973" t="s">
        <v>55</v>
      </c>
      <c r="P1" s="973"/>
    </row>
    <row r="2" spans="1:17" ht="15.95" customHeight="1" x14ac:dyDescent="0.25">
      <c r="A2" s="1023" t="s">
        <v>189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</row>
    <row r="3" spans="1:17" ht="14.1" customHeight="1" x14ac:dyDescent="0.25">
      <c r="A3" s="1024">
        <f>T!$I$21</f>
        <v>2015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4"/>
      <c r="L3" s="1024"/>
      <c r="M3" s="1024"/>
      <c r="N3" s="1024"/>
      <c r="O3" s="1024"/>
      <c r="P3" s="1024"/>
    </row>
    <row r="4" spans="1:17" ht="14.1" customHeight="1" x14ac:dyDescent="0.2">
      <c r="D4" s="501"/>
      <c r="E4" s="501"/>
      <c r="F4" s="501"/>
      <c r="G4" s="501"/>
      <c r="P4" s="601"/>
    </row>
    <row r="5" spans="1:17" ht="18" customHeight="1" x14ac:dyDescent="0.2">
      <c r="A5" s="503"/>
      <c r="B5" s="523"/>
      <c r="C5" s="524"/>
      <c r="D5" s="503" t="s">
        <v>13</v>
      </c>
      <c r="E5" s="503" t="s">
        <v>58</v>
      </c>
      <c r="F5" s="525" t="s">
        <v>59</v>
      </c>
      <c r="G5" s="503" t="s">
        <v>60</v>
      </c>
      <c r="H5" s="503" t="s">
        <v>61</v>
      </c>
      <c r="I5" s="525" t="s">
        <v>62</v>
      </c>
      <c r="J5" s="503" t="s">
        <v>63</v>
      </c>
      <c r="K5" s="503" t="s">
        <v>64</v>
      </c>
      <c r="L5" s="525" t="s">
        <v>65</v>
      </c>
      <c r="M5" s="503" t="s">
        <v>66</v>
      </c>
      <c r="N5" s="503" t="s">
        <v>67</v>
      </c>
      <c r="O5" s="503" t="s">
        <v>68</v>
      </c>
      <c r="P5" s="595" t="s">
        <v>2</v>
      </c>
      <c r="Q5" s="13"/>
    </row>
    <row r="6" spans="1:17" ht="9" customHeight="1" x14ac:dyDescent="0.2">
      <c r="A6" s="1025" t="s">
        <v>177</v>
      </c>
      <c r="B6" s="526"/>
      <c r="C6" s="527"/>
      <c r="D6" s="502"/>
      <c r="E6" s="502"/>
      <c r="F6" s="528"/>
      <c r="G6" s="502"/>
      <c r="H6" s="502"/>
      <c r="I6" s="528"/>
      <c r="J6" s="502"/>
      <c r="K6" s="502"/>
      <c r="L6" s="528"/>
      <c r="M6" s="502"/>
      <c r="N6" s="502"/>
      <c r="O6" s="502"/>
      <c r="P6" s="596"/>
      <c r="Q6" s="13"/>
    </row>
    <row r="7" spans="1:17" ht="18" customHeight="1" x14ac:dyDescent="0.2">
      <c r="A7" s="1021"/>
      <c r="B7" s="100" t="s">
        <v>152</v>
      </c>
      <c r="C7" s="575" t="s">
        <v>253</v>
      </c>
      <c r="D7" s="537">
        <f>IF(T!$A$4&gt;=D$42,(INDEX('[1]Přepravní soustava'!$C$13:$AL$13,1,MATCH(D$5,'[1]Přepravní soustava'!$C$1:$AL$1,0))+INDEX('[2]Z ZDS'!$C$31:$BB$31,1,MATCH(D$5,'[2]Z ZDS'!$C$1:$AX$1,0)))/1000,"")</f>
        <v>3284.8473382798379</v>
      </c>
      <c r="E7" s="550">
        <f>IF(T!$A$4&gt;=E$42,(INDEX('[1]Přepravní soustava'!$C$13:$AL$13,1,MATCH(E$5,'[1]Přepravní soustava'!$C$1:$AL$1,0))+INDEX('[2]Z ZDS'!$C$31:$BB$31,1,MATCH(E$5,'[2]Z ZDS'!$C$1:$AX$1,0)))/1000,"")</f>
        <v>2481.910466691224</v>
      </c>
      <c r="F7" s="577" t="str">
        <f>IF(T!$A$4&gt;=F$42,(INDEX('[1]Přepravní soustava'!$C$13:$AL$13,1,MATCH(F$5,'[1]Přepravní soustava'!$C$1:$AL$1,0))+INDEX('[2]Z ZDS'!$C$31:$BB$31,1,MATCH(F$5,'[2]Z ZDS'!$C$1:$AX$1,0)))/1000,"")</f>
        <v/>
      </c>
      <c r="G7" s="550" t="str">
        <f>IF(T!$A$4&gt;=G$42,(INDEX('[1]Přepravní soustava'!$C$13:$AL$13,1,MATCH(G$5,'[1]Přepravní soustava'!$C$1:$AL$1,0))+INDEX('[2]Z ZDS'!$C$31:$BB$31,1,MATCH(G$5,'[2]Z ZDS'!$C$1:$AX$1,0)))/1000,"")</f>
        <v/>
      </c>
      <c r="H7" s="537" t="str">
        <f>IF(T!$A$4&gt;=H$42,(INDEX('[1]Přepravní soustava'!$C$13:$AL$13,1,MATCH(H$5,'[1]Přepravní soustava'!$C$1:$AL$1,0))+INDEX('[2]Z ZDS'!$C$31:$BB$31,1,MATCH(H$5,'[2]Z ZDS'!$C$1:$AX$1,0)))/1000,"")</f>
        <v/>
      </c>
      <c r="I7" s="552" t="str">
        <f>IF(T!$A$4&gt;=I$42,(INDEX('[1]Přepravní soustava'!$C$13:$AL$13,1,MATCH(I$5,'[1]Přepravní soustava'!$C$1:$AL$1,0))+INDEX('[2]Z ZDS'!$C$31:$BB$31,1,MATCH(I$5,'[2]Z ZDS'!$C$1:$AX$1,0)))/1000,"")</f>
        <v/>
      </c>
      <c r="J7" s="537" t="str">
        <f>IF(T!$A$4&gt;=J$42,(INDEX('[1]Přepravní soustava'!$C$13:$AL$13,1,MATCH(J$5,'[1]Přepravní soustava'!$C$1:$AL$1,0))+INDEX('[2]Z ZDS'!$C$31:$BB$31,1,MATCH(J$5,'[2]Z ZDS'!$C$1:$AX$1,0)))/1000,"")</f>
        <v/>
      </c>
      <c r="K7" s="537" t="str">
        <f>IF(T!$A$4&gt;=K$42,(INDEX('[1]Přepravní soustava'!$C$13:$AL$13,1,MATCH(K$5,'[1]Přepravní soustava'!$C$1:$AL$1,0))+INDEX('[2]Z ZDS'!$C$31:$BB$31,1,MATCH(K$5,'[2]Z ZDS'!$C$1:$AX$1,0)))/1000,"")</f>
        <v/>
      </c>
      <c r="L7" s="552" t="str">
        <f>IF(T!$A$4&gt;=L$42,(INDEX('[1]Přepravní soustava'!$C$13:$AL$13,1,MATCH(L$5,'[1]Přepravní soustava'!$C$1:$AL$1,0))+INDEX('[2]Z ZDS'!$C$31:$BB$31,1,MATCH(L$5,'[2]Z ZDS'!$C$1:$AX$1,0)))/1000,"")</f>
        <v/>
      </c>
      <c r="M7" s="537" t="str">
        <f>IF(T!$A$4&gt;=M$42,(INDEX('[1]Přepravní soustava'!$C$13:$AL$13,1,MATCH(M$5,'[1]Přepravní soustava'!$C$1:$AL$1,0))+INDEX('[2]Z ZDS'!$C$31:$BB$31,1,MATCH(M$5,'[2]Z ZDS'!$C$1:$AX$1,0)))/1000,"")</f>
        <v/>
      </c>
      <c r="N7" s="537" t="str">
        <f>IF(T!$A$4&gt;=N$42,(INDEX('[1]Přepravní soustava'!$C$13:$AL$13,1,MATCH(N$5,'[1]Přepravní soustava'!$C$1:$AL$1,0))+INDEX('[2]Z ZDS'!$C$31:$BB$31,1,MATCH(N$5,'[2]Z ZDS'!$C$1:$AX$1,0)))/1000,"")</f>
        <v/>
      </c>
      <c r="O7" s="537" t="str">
        <f>IF(T!$A$4&gt;=O$42,(INDEX('[1]Přepravní soustava'!$C$13:$AL$13,1,MATCH(O$5,'[1]Přepravní soustava'!$C$1:$AL$1,0))+INDEX('[2]Z ZDS'!$C$31:$BB$31,1,MATCH(O$5,'[2]Z ZDS'!$C$1:$AX$1,0)))/1000,"")</f>
        <v/>
      </c>
      <c r="P7" s="597">
        <f>SUM(D7:O7)</f>
        <v>5766.7578049710619</v>
      </c>
    </row>
    <row r="8" spans="1:17" ht="18" customHeight="1" x14ac:dyDescent="0.2">
      <c r="A8" s="1021"/>
      <c r="B8" s="100" t="s">
        <v>153</v>
      </c>
      <c r="C8" s="575" t="s">
        <v>253</v>
      </c>
      <c r="D8" s="537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50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77" t="str">
        <f>IF(T!$A$4&gt;=F$42,-(INDEX('[1]Přepravní soustava'!$C$22:$AL$22,1,MATCH(F$5,'[1]Přepravní soustava'!$C$1:$AL$1,0))+INDEX('[2]Do ZDS'!$C$32:$BB$32,1,MATCH(F$5,'[2]Do ZDS'!$C$1:$AX$1,0)))/1000,"")</f>
        <v/>
      </c>
      <c r="G8" s="550" t="str">
        <f>IF(T!$A$4&gt;=G$42,-(INDEX('[1]Přepravní soustava'!$C$22:$AL$22,1,MATCH(G$5,'[1]Přepravní soustava'!$C$1:$AL$1,0))+INDEX('[2]Do ZDS'!$C$32:$BB$32,1,MATCH(G$5,'[2]Do ZDS'!$C$1:$AX$1,0)))/1000,"")</f>
        <v/>
      </c>
      <c r="H8" s="537" t="str">
        <f>IF(T!$A$4&gt;=H$42,-(INDEX('[1]Přepravní soustava'!$C$22:$AL$22,1,MATCH(H$5,'[1]Přepravní soustava'!$C$1:$AL$1,0))+INDEX('[2]Do ZDS'!$C$32:$BB$32,1,MATCH(H$5,'[2]Do ZDS'!$C$1:$AX$1,0)))/1000,"")</f>
        <v/>
      </c>
      <c r="I8" s="552" t="str">
        <f>IF(T!$A$4&gt;=I$42,-(INDEX('[1]Přepravní soustava'!$C$22:$AL$22,1,MATCH(I$5,'[1]Přepravní soustava'!$C$1:$AL$1,0))+INDEX('[2]Do ZDS'!$C$32:$BB$32,1,MATCH(I$5,'[2]Do ZDS'!$C$1:$AX$1,0)))/1000,"")</f>
        <v/>
      </c>
      <c r="J8" s="537" t="str">
        <f>IF(T!$A$4&gt;=J$42,-(INDEX('[1]Přepravní soustava'!$C$22:$AL$22,1,MATCH(J$5,'[1]Přepravní soustava'!$C$1:$AL$1,0))+INDEX('[2]Do ZDS'!$C$32:$BB$32,1,MATCH(J$5,'[2]Do ZDS'!$C$1:$AX$1,0)))/1000,"")</f>
        <v/>
      </c>
      <c r="K8" s="537" t="str">
        <f>IF(T!$A$4&gt;=K$42,-(INDEX('[1]Přepravní soustava'!$C$22:$AL$22,1,MATCH(K$5,'[1]Přepravní soustava'!$C$1:$AL$1,0))+INDEX('[2]Do ZDS'!$C$32:$BB$32,1,MATCH(K$5,'[2]Do ZDS'!$C$1:$AX$1,0)))/1000,"")</f>
        <v/>
      </c>
      <c r="L8" s="552" t="str">
        <f>IF(T!$A$4&gt;=L$42,-(INDEX('[1]Přepravní soustava'!$C$22:$AL$22,1,MATCH(L$5,'[1]Přepravní soustava'!$C$1:$AL$1,0))+INDEX('[2]Do ZDS'!$C$32:$BB$32,1,MATCH(L$5,'[2]Do ZDS'!$C$1:$AX$1,0)))/1000,"")</f>
        <v/>
      </c>
      <c r="M8" s="537" t="str">
        <f>IF(T!$A$4&gt;=M$42,-(INDEX('[1]Přepravní soustava'!$C$22:$AL$22,1,MATCH(M$5,'[1]Přepravní soustava'!$C$1:$AL$1,0))+INDEX('[2]Do ZDS'!$C$32:$BB$32,1,MATCH(M$5,'[2]Do ZDS'!$C$1:$AX$1,0)))/1000,"")</f>
        <v/>
      </c>
      <c r="N8" s="537" t="str">
        <f>IF(T!$A$4&gt;=N$42,-(INDEX('[1]Přepravní soustava'!$C$22:$AL$22,1,MATCH(N$5,'[1]Přepravní soustava'!$C$1:$AL$1,0))+INDEX('[2]Do ZDS'!$C$32:$BB$32,1,MATCH(N$5,'[2]Do ZDS'!$C$1:$AX$1,0)))/1000,"")</f>
        <v/>
      </c>
      <c r="O8" s="537" t="str">
        <f>IF(T!$A$4&gt;=O$42,-(INDEX('[1]Přepravní soustava'!$C$22:$AL$22,1,MATCH(O$5,'[1]Přepravní soustava'!$C$1:$AL$1,0))+INDEX('[2]Do ZDS'!$C$32:$BB$32,1,MATCH(O$5,'[2]Do ZDS'!$C$1:$AX$1,0)))/1000,"")</f>
        <v/>
      </c>
      <c r="P8" s="597">
        <f t="shared" ref="P8:P34" si="0">SUM(D8:O8)</f>
        <v>-5060.1291159029552</v>
      </c>
    </row>
    <row r="9" spans="1:17" ht="18" customHeight="1" x14ac:dyDescent="0.2">
      <c r="A9" s="1021"/>
      <c r="B9" s="898" t="s">
        <v>154</v>
      </c>
      <c r="C9" s="899" t="s">
        <v>253</v>
      </c>
      <c r="D9" s="900">
        <f>IF(T!$A$4&gt;=D$42,D7+D8,"")</f>
        <v>438.636603516381</v>
      </c>
      <c r="E9" s="900">
        <f>IF(T!$A$4&gt;=E$42,E7+E8,"")</f>
        <v>267.99208555172618</v>
      </c>
      <c r="F9" s="901" t="str">
        <f>IF(T!$A$4&gt;=F$42,F7+F8,"")</f>
        <v/>
      </c>
      <c r="G9" s="900" t="str">
        <f>IF(T!$A$4&gt;=G$42,G7+G8,"")</f>
        <v/>
      </c>
      <c r="H9" s="902" t="str">
        <f>IF(T!$A$4&gt;=H$42,H7+H8,"")</f>
        <v/>
      </c>
      <c r="I9" s="903" t="str">
        <f>IF(T!$A$4&gt;=I$42,I7+I8,"")</f>
        <v/>
      </c>
      <c r="J9" s="902" t="str">
        <f>IF(T!$A$4&gt;=J$42,J7+J8,"")</f>
        <v/>
      </c>
      <c r="K9" s="902" t="str">
        <f>IF(T!$A$4&gt;=K$42,K7+K8,"")</f>
        <v/>
      </c>
      <c r="L9" s="903" t="str">
        <f>IF(T!$A$4&gt;=L$42,L7+L8,"")</f>
        <v/>
      </c>
      <c r="M9" s="902" t="str">
        <f>IF(T!$A$4&gt;=M$42,M7+M8,"")</f>
        <v/>
      </c>
      <c r="N9" s="902" t="str">
        <f>IF(T!$A$4&gt;=N$42,N7+N8,"")</f>
        <v/>
      </c>
      <c r="O9" s="902" t="str">
        <f>IF(T!$A$4&gt;=O$42,O7+O8,"")</f>
        <v/>
      </c>
      <c r="P9" s="904">
        <f t="shared" si="0"/>
        <v>706.62868906810718</v>
      </c>
    </row>
    <row r="10" spans="1:17" ht="18" customHeight="1" x14ac:dyDescent="0.2">
      <c r="A10" s="1021"/>
      <c r="B10" s="100" t="s">
        <v>152</v>
      </c>
      <c r="C10" s="575" t="s">
        <v>398</v>
      </c>
      <c r="D10" s="550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50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77" t="str">
        <f>IF(T!$A$4&gt;=F$42,(INDEX('[1]Přepravní soustava'!$C$13:$AL$13,1,MATCH(F$5,'[1]Přepravní soustava'!$C$1:$AL$1,0)+1)+INDEX('[2]Z ZDS'!$C$31:$BB$31,1,MATCH(F$5,'[2]Z ZDS'!$C$1:$AX$1,0)+1))/1000,"")</f>
        <v/>
      </c>
      <c r="G10" s="550" t="str">
        <f>IF(T!$A$4&gt;=G$42,(INDEX('[1]Přepravní soustava'!$C$13:$AL$13,1,MATCH(G$5,'[1]Přepravní soustava'!$C$1:$AL$1,0)+1)+INDEX('[2]Z ZDS'!$C$31:$BB$31,1,MATCH(G$5,'[2]Z ZDS'!$C$1:$AX$1,0)+1))/1000,"")</f>
        <v/>
      </c>
      <c r="H10" s="537" t="str">
        <f>IF(T!$A$4&gt;=H$42,(INDEX('[1]Přepravní soustava'!$C$13:$AL$13,1,MATCH(H$5,'[1]Přepravní soustava'!$C$1:$AL$1,0)+1)+INDEX('[2]Z ZDS'!$C$31:$BB$31,1,MATCH(H$5,'[2]Z ZDS'!$C$1:$AX$1,0)+1))/1000,"")</f>
        <v/>
      </c>
      <c r="I10" s="552" t="str">
        <f>IF(T!$A$4&gt;=I$42,(INDEX('[1]Přepravní soustava'!$C$13:$AL$13,1,MATCH(I$5,'[1]Přepravní soustava'!$C$1:$AL$1,0)+1)+INDEX('[2]Z ZDS'!$C$31:$BB$31,1,MATCH(I$5,'[2]Z ZDS'!$C$1:$AX$1,0)+1))/1000,"")</f>
        <v/>
      </c>
      <c r="J10" s="537" t="str">
        <f>IF(T!$A$4&gt;=J$42,(INDEX('[1]Přepravní soustava'!$C$13:$AL$13,1,MATCH(J$5,'[1]Přepravní soustava'!$C$1:$AL$1,0)+1)+INDEX('[2]Z ZDS'!$C$31:$BB$31,1,MATCH(J$5,'[2]Z ZDS'!$C$1:$AX$1,0)+1))/1000,"")</f>
        <v/>
      </c>
      <c r="K10" s="537" t="str">
        <f>IF(T!$A$4&gt;=K$42,(INDEX('[1]Přepravní soustava'!$C$13:$AL$13,1,MATCH(K$5,'[1]Přepravní soustava'!$C$1:$AL$1,0)+1)+INDEX('[2]Z ZDS'!$C$31:$BB$31,1,MATCH(K$5,'[2]Z ZDS'!$C$1:$AX$1,0)+1))/1000,"")</f>
        <v/>
      </c>
      <c r="L10" s="552" t="str">
        <f>IF(T!$A$4&gt;=L$42,(INDEX('[1]Přepravní soustava'!$C$13:$AL$13,1,MATCH(L$5,'[1]Přepravní soustava'!$C$1:$AL$1,0)+1)+INDEX('[2]Z ZDS'!$C$31:$BB$31,1,MATCH(L$5,'[2]Z ZDS'!$C$1:$AX$1,0)+1))/1000,"")</f>
        <v/>
      </c>
      <c r="M10" s="537" t="str">
        <f>IF(T!$A$4&gt;=M$42,(INDEX('[1]Přepravní soustava'!$C$13:$AL$13,1,MATCH(M$5,'[1]Přepravní soustava'!$C$1:$AL$1,0)+1)+INDEX('[2]Z ZDS'!$C$31:$BB$31,1,MATCH(M$5,'[2]Z ZDS'!$C$1:$AX$1,0)+1))/1000,"")</f>
        <v/>
      </c>
      <c r="N10" s="537" t="str">
        <f>IF(T!$A$4&gt;=N$42,(INDEX('[1]Přepravní soustava'!$C$13:$AL$13,1,MATCH(N$5,'[1]Přepravní soustava'!$C$1:$AL$1,0)+1)+INDEX('[2]Z ZDS'!$C$31:$BB$31,1,MATCH(N$5,'[2]Z ZDS'!$C$1:$AX$1,0)+1))/1000,"")</f>
        <v/>
      </c>
      <c r="O10" s="537" t="str">
        <f>IF(T!$A$4&gt;=O$42,(INDEX('[1]Přepravní soustava'!$C$13:$AL$13,1,MATCH(O$5,'[1]Přepravní soustava'!$C$1:$AL$1,0)+1)+INDEX('[2]Z ZDS'!$C$31:$BB$31,1,MATCH(O$5,'[2]Z ZDS'!$C$1:$AX$1,0)+1))/1000,"")</f>
        <v/>
      </c>
      <c r="P10" s="597">
        <f t="shared" si="0"/>
        <v>61303.206785358998</v>
      </c>
    </row>
    <row r="11" spans="1:17" ht="18" customHeight="1" x14ac:dyDescent="0.2">
      <c r="A11" s="1021"/>
      <c r="B11" s="100" t="s">
        <v>153</v>
      </c>
      <c r="C11" s="575" t="s">
        <v>398</v>
      </c>
      <c r="D11" s="550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50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77" t="str">
        <f>IF(T!$A$4&gt;=F$42,-(INDEX('[1]Přepravní soustava'!$C$22:$AL$22,1,MATCH(F$5,'[1]Přepravní soustava'!$C$1:$AL$1,0)+1)+INDEX('[2]Do ZDS'!$C$32:$BB$32,1,MATCH(F$5,'[2]Do ZDS'!$C$1:$AX$1,0)+1))/1000,"")</f>
        <v/>
      </c>
      <c r="G11" s="550" t="str">
        <f>IF(T!$A$4&gt;=G$42,-(INDEX('[1]Přepravní soustava'!$C$22:$AL$22,1,MATCH(G$5,'[1]Přepravní soustava'!$C$1:$AL$1,0)+1)+INDEX('[2]Do ZDS'!$C$32:$BB$32,1,MATCH(G$5,'[2]Do ZDS'!$C$1:$AX$1,0)+1))/1000,"")</f>
        <v/>
      </c>
      <c r="H11" s="537" t="str">
        <f>IF(T!$A$4&gt;=H$42,-(INDEX('[1]Přepravní soustava'!$C$22:$AL$22,1,MATCH(H$5,'[1]Přepravní soustava'!$C$1:$AL$1,0)+1)+INDEX('[2]Do ZDS'!$C$32:$BB$32,1,MATCH(H$5,'[2]Do ZDS'!$C$1:$AX$1,0)+1))/1000,"")</f>
        <v/>
      </c>
      <c r="I11" s="552" t="str">
        <f>IF(T!$A$4&gt;=I$42,-(INDEX('[1]Přepravní soustava'!$C$22:$AL$22,1,MATCH(I$5,'[1]Přepravní soustava'!$C$1:$AL$1,0)+1)+INDEX('[2]Do ZDS'!$C$32:$BB$32,1,MATCH(I$5,'[2]Do ZDS'!$C$1:$AX$1,0)+1))/1000,"")</f>
        <v/>
      </c>
      <c r="J11" s="537" t="str">
        <f>IF(T!$A$4&gt;=J$42,-(INDEX('[1]Přepravní soustava'!$C$22:$AL$22,1,MATCH(J$5,'[1]Přepravní soustava'!$C$1:$AL$1,0)+1)+INDEX('[2]Do ZDS'!$C$32:$BB$32,1,MATCH(J$5,'[2]Do ZDS'!$C$1:$AX$1,0)+1))/1000,"")</f>
        <v/>
      </c>
      <c r="K11" s="537" t="str">
        <f>IF(T!$A$4&gt;=K$42,-(INDEX('[1]Přepravní soustava'!$C$22:$AL$22,1,MATCH(K$5,'[1]Přepravní soustava'!$C$1:$AL$1,0)+1)+INDEX('[2]Do ZDS'!$C$32:$BB$32,1,MATCH(K$5,'[2]Do ZDS'!$C$1:$AX$1,0)+1))/1000,"")</f>
        <v/>
      </c>
      <c r="L11" s="552" t="str">
        <f>IF(T!$A$4&gt;=L$42,-(INDEX('[1]Přepravní soustava'!$C$22:$AL$22,1,MATCH(L$5,'[1]Přepravní soustava'!$C$1:$AL$1,0)+1)+INDEX('[2]Do ZDS'!$C$32:$BB$32,1,MATCH(L$5,'[2]Do ZDS'!$C$1:$AX$1,0)+1))/1000,"")</f>
        <v/>
      </c>
      <c r="M11" s="537" t="str">
        <f>IF(T!$A$4&gt;=M$42,-(INDEX('[1]Přepravní soustava'!$C$22:$AL$22,1,MATCH(M$5,'[1]Přepravní soustava'!$C$1:$AL$1,0)+1)+INDEX('[2]Do ZDS'!$C$32:$BB$32,1,MATCH(M$5,'[2]Do ZDS'!$C$1:$AX$1,0)+1))/1000,"")</f>
        <v/>
      </c>
      <c r="N11" s="537" t="str">
        <f>IF(T!$A$4&gt;=N$42,-(INDEX('[1]Přepravní soustava'!$C$22:$AL$22,1,MATCH(N$5,'[1]Přepravní soustava'!$C$1:$AL$1,0)+1)+INDEX('[2]Do ZDS'!$C$32:$BB$32,1,MATCH(N$5,'[2]Do ZDS'!$C$1:$AX$1,0)+1))/1000,"")</f>
        <v/>
      </c>
      <c r="O11" s="537" t="str">
        <f>IF(T!$A$4&gt;=O$42,-(INDEX('[1]Přepravní soustava'!$C$22:$AL$22,1,MATCH(O$5,'[1]Přepravní soustava'!$C$1:$AL$1,0)+1)+INDEX('[2]Do ZDS'!$C$32:$BB$32,1,MATCH(O$5,'[2]Do ZDS'!$C$1:$AX$1,0)+1))/1000,"")</f>
        <v/>
      </c>
      <c r="P11" s="597">
        <f t="shared" si="0"/>
        <v>-53839.457435302902</v>
      </c>
    </row>
    <row r="12" spans="1:17" ht="18" customHeight="1" x14ac:dyDescent="0.2">
      <c r="A12" s="1021"/>
      <c r="B12" s="618" t="s">
        <v>154</v>
      </c>
      <c r="C12" s="575" t="s">
        <v>398</v>
      </c>
      <c r="D12" s="550">
        <f>IF(T!$A$4&gt;=D$42,D10+D11,"")</f>
        <v>4633.513772353388</v>
      </c>
      <c r="E12" s="550">
        <f>IF(T!$A$4&gt;=E$42,E10+E11,"")</f>
        <v>2830.2355777027078</v>
      </c>
      <c r="F12" s="577" t="str">
        <f>IF(T!$A$4&gt;=F$42,F10+F11,"")</f>
        <v/>
      </c>
      <c r="G12" s="550" t="str">
        <f>IF(T!$A$4&gt;=G$42,G10+G11,"")</f>
        <v/>
      </c>
      <c r="H12" s="537" t="str">
        <f>IF(T!$A$4&gt;=H$42,H10+H11,"")</f>
        <v/>
      </c>
      <c r="I12" s="552" t="str">
        <f>IF(T!$A$4&gt;=I$42,I10+I11,"")</f>
        <v/>
      </c>
      <c r="J12" s="537" t="str">
        <f>IF(T!$A$4&gt;=J$42,J10+J11,"")</f>
        <v/>
      </c>
      <c r="K12" s="537" t="str">
        <f>IF(T!$A$4&gt;=K$42,K10+K11,"")</f>
        <v/>
      </c>
      <c r="L12" s="552" t="str">
        <f>IF(T!$A$4&gt;=L$42,L10+L11,"")</f>
        <v/>
      </c>
      <c r="M12" s="537" t="str">
        <f>IF(T!$A$4&gt;=M$42,M10+M11,"")</f>
        <v/>
      </c>
      <c r="N12" s="537" t="str">
        <f>IF(T!$A$4&gt;=N$42,N10+N11,"")</f>
        <v/>
      </c>
      <c r="O12" s="537" t="str">
        <f>IF(T!$A$4&gt;=O$42,O10+O11,"")</f>
        <v/>
      </c>
      <c r="P12" s="597">
        <f t="shared" si="0"/>
        <v>7463.7493500560959</v>
      </c>
    </row>
    <row r="13" spans="1:17" ht="9" customHeight="1" x14ac:dyDescent="0.2">
      <c r="A13" s="1022"/>
      <c r="B13" s="521"/>
      <c r="C13" s="505"/>
      <c r="D13" s="554"/>
      <c r="E13" s="554"/>
      <c r="F13" s="585"/>
      <c r="G13" s="554"/>
      <c r="H13" s="556"/>
      <c r="I13" s="557"/>
      <c r="J13" s="556"/>
      <c r="K13" s="556"/>
      <c r="L13" s="557"/>
      <c r="M13" s="556"/>
      <c r="N13" s="556"/>
      <c r="O13" s="556"/>
      <c r="P13" s="598"/>
    </row>
    <row r="14" spans="1:17" ht="9" customHeight="1" x14ac:dyDescent="0.2">
      <c r="A14" s="1025" t="s">
        <v>183</v>
      </c>
      <c r="B14" s="526"/>
      <c r="C14" s="527"/>
      <c r="D14" s="502"/>
      <c r="E14" s="502"/>
      <c r="F14" s="528"/>
      <c r="G14" s="502"/>
      <c r="H14" s="502"/>
      <c r="I14" s="528"/>
      <c r="J14" s="502"/>
      <c r="K14" s="502"/>
      <c r="L14" s="528"/>
      <c r="M14" s="502"/>
      <c r="N14" s="502"/>
      <c r="O14" s="502"/>
      <c r="P14" s="597"/>
    </row>
    <row r="15" spans="1:17" ht="18" customHeight="1" x14ac:dyDescent="0.2">
      <c r="A15" s="1021"/>
      <c r="B15" s="100" t="s">
        <v>159</v>
      </c>
      <c r="C15" s="575" t="s">
        <v>253</v>
      </c>
      <c r="D15" s="537">
        <f>IF(T!$A$4&gt;=D$42,INDEX('[1]Přepravní soustava'!$C$41:$AL$41,1,MATCH(D$5,'[1]Přepravní soustava'!$C$1:$AL$1,0))/1000,"")</f>
        <v>663.07631100000003</v>
      </c>
      <c r="E15" s="550">
        <f>IF(T!$A$4&gt;=E$42,INDEX('[1]Přepravní soustava'!$C$41:$AL$41,1,MATCH(E$5,'[1]Přepravní soustava'!$C$1:$AL$1,0))/1000,"")</f>
        <v>730.844382</v>
      </c>
      <c r="F15" s="577" t="str">
        <f>IF(T!$A$4&gt;=F$42,INDEX('[1]Přepravní soustava'!$C$41:$AL$41,1,MATCH(F$5,'[1]Přepravní soustava'!$C$1:$AL$1,0))/1000,"")</f>
        <v/>
      </c>
      <c r="G15" s="550" t="str">
        <f>IF(T!$A$4&gt;=G$42,INDEX('[1]Přepravní soustava'!$C$41:$AL$41,1,MATCH(G$5,'[1]Přepravní soustava'!$C$1:$AL$1,0))/1000,"")</f>
        <v/>
      </c>
      <c r="H15" s="537" t="str">
        <f>IF(T!$A$4&gt;=H$42,INDEX('[1]Přepravní soustava'!$C$41:$AL$41,1,MATCH(H$5,'[1]Přepravní soustava'!$C$1:$AL$1,0))/1000,"")</f>
        <v/>
      </c>
      <c r="I15" s="552" t="str">
        <f>IF(T!$A$4&gt;=I$42,INDEX('[1]Přepravní soustava'!$C$41:$AL$41,1,MATCH(I$5,'[1]Přepravní soustava'!$C$1:$AL$1,0))/1000,"")</f>
        <v/>
      </c>
      <c r="J15" s="537" t="str">
        <f>IF(T!$A$4&gt;=J$42,INDEX('[1]Přepravní soustava'!$C$41:$AL$41,1,MATCH(J$5,'[1]Přepravní soustava'!$C$1:$AL$1,0))/1000,"")</f>
        <v/>
      </c>
      <c r="K15" s="537" t="str">
        <f>IF(T!$A$4&gt;=K$42,INDEX('[1]Přepravní soustava'!$C$41:$AL$41,1,MATCH(K$5,'[1]Přepravní soustava'!$C$1:$AL$1,0))/1000,"")</f>
        <v/>
      </c>
      <c r="L15" s="552" t="str">
        <f>IF(T!$A$4&gt;=L$42,INDEX('[1]Přepravní soustava'!$C$41:$AL$41,1,MATCH(L$5,'[1]Přepravní soustava'!$C$1:$AL$1,0))/1000,"")</f>
        <v/>
      </c>
      <c r="M15" s="537" t="str">
        <f>IF(T!$A$4&gt;=M$42,INDEX('[1]Přepravní soustava'!$C$41:$AL$41,1,MATCH(M$5,'[1]Přepravní soustava'!$C$1:$AL$1,0))/1000,"")</f>
        <v/>
      </c>
      <c r="N15" s="537" t="str">
        <f>IF(T!$A$4&gt;=N$42,INDEX('[1]Přepravní soustava'!$C$41:$AL$41,1,MATCH(N$5,'[1]Přepravní soustava'!$C$1:$AL$1,0))/1000,"")</f>
        <v/>
      </c>
      <c r="O15" s="537" t="str">
        <f>IF(T!$A$4&gt;=O$42,INDEX('[1]Přepravní soustava'!$C$41:$AL$41,1,MATCH(O$5,'[1]Přepravní soustava'!$C$1:$AL$1,0))/1000,"")</f>
        <v/>
      </c>
      <c r="P15" s="597">
        <f t="shared" si="0"/>
        <v>1393.920693</v>
      </c>
    </row>
    <row r="16" spans="1:17" ht="18" customHeight="1" x14ac:dyDescent="0.2">
      <c r="A16" s="1021"/>
      <c r="B16" s="100" t="s">
        <v>160</v>
      </c>
      <c r="C16" s="575" t="s">
        <v>253</v>
      </c>
      <c r="D16" s="550">
        <f>IF(T!$A$4&gt;=D$42,-INDEX('[1]Přepravní soustava'!$C$45:$AL$45,1,MATCH(D$5,'[1]Přepravní soustava'!$C$1:$AL$1,0))/1000,"")</f>
        <v>-16.494135</v>
      </c>
      <c r="E16" s="550">
        <f>IF(T!$A$4&gt;=E$42,-INDEX('[1]Přepravní soustava'!$C$45:$AL$45,1,MATCH(E$5,'[1]Přepravní soustava'!$C$1:$AL$1,0))/1000,"")</f>
        <v>-9.5552060000000001</v>
      </c>
      <c r="F16" s="577" t="str">
        <f>IF(T!$A$4&gt;=F$42,-INDEX('[1]Přepravní soustava'!$C$45:$AL$45,1,MATCH(F$5,'[1]Přepravní soustava'!$C$1:$AL$1,0))/1000,"")</f>
        <v/>
      </c>
      <c r="G16" s="550" t="str">
        <f>IF(T!$A$4&gt;=G$42,-INDEX('[1]Přepravní soustava'!$C$45:$AL$45,1,MATCH(G$5,'[1]Přepravní soustava'!$C$1:$AL$1,0))/1000,"")</f>
        <v/>
      </c>
      <c r="H16" s="537" t="str">
        <f>IF(T!$A$4&gt;=H$42,-INDEX('[1]Přepravní soustava'!$C$45:$AL$45,1,MATCH(H$5,'[1]Přepravní soustava'!$C$1:$AL$1,0))/1000,"")</f>
        <v/>
      </c>
      <c r="I16" s="552" t="str">
        <f>IF(T!$A$4&gt;=I$42,-INDEX('[1]Přepravní soustava'!$C$45:$AL$45,1,MATCH(I$5,'[1]Přepravní soustava'!$C$1:$AL$1,0))/1000,"")</f>
        <v/>
      </c>
      <c r="J16" s="537" t="str">
        <f>IF(T!$A$4&gt;=J$42,-INDEX('[1]Přepravní soustava'!$C$45:$AL$45,1,MATCH(J$5,'[1]Přepravní soustava'!$C$1:$AL$1,0))/1000,"")</f>
        <v/>
      </c>
      <c r="K16" s="537" t="str">
        <f>IF(T!$A$4&gt;=K$42,-INDEX('[1]Přepravní soustava'!$C$45:$AL$45,1,MATCH(K$5,'[1]Přepravní soustava'!$C$1:$AL$1,0))/1000,"")</f>
        <v/>
      </c>
      <c r="L16" s="552" t="str">
        <f>IF(T!$A$4&gt;=L$42,-INDEX('[1]Přepravní soustava'!$C$45:$AL$45,1,MATCH(L$5,'[1]Přepravní soustava'!$C$1:$AL$1,0))/1000,"")</f>
        <v/>
      </c>
      <c r="M16" s="537" t="str">
        <f>IF(T!$A$4&gt;=M$42,-INDEX('[1]Přepravní soustava'!$C$45:$AL$45,1,MATCH(M$5,'[1]Přepravní soustava'!$C$1:$AL$1,0))/1000,"")</f>
        <v/>
      </c>
      <c r="N16" s="537" t="str">
        <f>IF(T!$A$4&gt;=N$42,-INDEX('[1]Přepravní soustava'!$C$45:$AL$45,1,MATCH(N$5,'[1]Přepravní soustava'!$C$1:$AL$1,0))/1000,"")</f>
        <v/>
      </c>
      <c r="O16" s="537" t="str">
        <f>IF(T!$A$4&gt;=O$42,-INDEX('[1]Přepravní soustava'!$C$45:$AL$45,1,MATCH(O$5,'[1]Přepravní soustava'!$C$1:$AL$1,0))/1000,"")</f>
        <v/>
      </c>
      <c r="P16" s="597">
        <f t="shared" si="0"/>
        <v>-26.049340999999998</v>
      </c>
    </row>
    <row r="17" spans="1:19" ht="18" customHeight="1" x14ac:dyDescent="0.2">
      <c r="A17" s="1021"/>
      <c r="B17" s="618" t="s">
        <v>161</v>
      </c>
      <c r="C17" s="575" t="s">
        <v>253</v>
      </c>
      <c r="D17" s="550">
        <f>IF(T!$A$4&gt;=D$42,D15+D16,"")</f>
        <v>646.582176</v>
      </c>
      <c r="E17" s="550">
        <f>IF(T!$A$4&gt;=E$42,E15+E16,"")</f>
        <v>721.289176</v>
      </c>
      <c r="F17" s="577" t="str">
        <f>IF(T!$A$4&gt;=F$42,F15+F16,"")</f>
        <v/>
      </c>
      <c r="G17" s="550" t="str">
        <f>IF(T!$A$4&gt;=G$42,G15+G16,"")</f>
        <v/>
      </c>
      <c r="H17" s="537" t="str">
        <f>IF(T!$A$4&gt;=H$42,H15+H16,"")</f>
        <v/>
      </c>
      <c r="I17" s="552" t="str">
        <f>IF(T!$A$4&gt;=I$42,I15+I16,"")</f>
        <v/>
      </c>
      <c r="J17" s="537" t="str">
        <f>IF(T!$A$4&gt;=J$42,J15+J16,"")</f>
        <v/>
      </c>
      <c r="K17" s="537" t="str">
        <f>IF(T!$A$4&gt;=K$42,K15+K16,"")</f>
        <v/>
      </c>
      <c r="L17" s="552" t="str">
        <f>IF(T!$A$4&gt;=L$42,L15+L16,"")</f>
        <v/>
      </c>
      <c r="M17" s="537" t="str">
        <f>IF(T!$A$4&gt;=M$42,M15+M16,"")</f>
        <v/>
      </c>
      <c r="N17" s="537" t="str">
        <f>IF(T!$A$4&gt;=N$42,N15+N16,"")</f>
        <v/>
      </c>
      <c r="O17" s="537" t="str">
        <f>IF(T!$A$4&gt;=O$42,O15+O16,"")</f>
        <v/>
      </c>
      <c r="P17" s="597">
        <f>SUM(D17:O17)</f>
        <v>1367.8713520000001</v>
      </c>
      <c r="R17" s="67"/>
      <c r="S17" s="67"/>
    </row>
    <row r="18" spans="1:19" ht="18" customHeight="1" x14ac:dyDescent="0.2">
      <c r="A18" s="1021"/>
      <c r="B18" s="898" t="s">
        <v>390</v>
      </c>
      <c r="C18" s="899" t="s">
        <v>253</v>
      </c>
      <c r="D18" s="900">
        <f>IF(T!$A$4&gt;=D$42,'[10]Stav zásob ČR'!C3,"")</f>
        <v>1506.0067398421697</v>
      </c>
      <c r="E18" s="900">
        <f>IF(T!$A$4&gt;=E$42,'[10]Stav zásob ČR'!D3,"")</f>
        <v>784.71756384216962</v>
      </c>
      <c r="F18" s="901" t="str">
        <f>IF(T!$A$4&gt;=F$42,'[10]Stav zásob ČR'!E3,"")</f>
        <v/>
      </c>
      <c r="G18" s="900" t="str">
        <f>IF(T!$A$4&gt;=G$42,'[10]Stav zásob ČR'!F3,"")</f>
        <v/>
      </c>
      <c r="H18" s="902" t="str">
        <f>IF(T!$A$4&gt;=H$42,'[10]Stav zásob ČR'!G3,"")</f>
        <v/>
      </c>
      <c r="I18" s="903" t="str">
        <f>IF(T!$A$4&gt;=I$42,'[10]Stav zásob ČR'!H3,"")</f>
        <v/>
      </c>
      <c r="J18" s="902" t="str">
        <f>IF(T!$A$4&gt;=J$42,'[10]Stav zásob ČR'!I3,"")</f>
        <v/>
      </c>
      <c r="K18" s="902" t="str">
        <f>IF(T!$A$4&gt;=K$42,'[10]Stav zásob ČR'!J3,"")</f>
        <v/>
      </c>
      <c r="L18" s="903" t="str">
        <f>IF(T!$A$4&gt;=L$42,'[10]Stav zásob ČR'!K3,"")</f>
        <v/>
      </c>
      <c r="M18" s="902" t="str">
        <f>IF(T!$A$4&gt;=M$42,'[10]Stav zásob ČR'!L3,"")</f>
        <v/>
      </c>
      <c r="N18" s="902" t="str">
        <f>IF(T!$A$4&gt;=N$42,'[10]Stav zásob ČR'!M3,"")</f>
        <v/>
      </c>
      <c r="O18" s="902" t="str">
        <f>IF(T!$A$4&gt;=O$42,'[10]Stav zásob ČR'!N3,"")</f>
        <v/>
      </c>
      <c r="P18" s="904">
        <f>INDEX(D18:O18,,T!$A$4)</f>
        <v>784.71756384216962</v>
      </c>
    </row>
    <row r="19" spans="1:19" ht="18" customHeight="1" x14ac:dyDescent="0.2">
      <c r="A19" s="1021"/>
      <c r="B19" s="100" t="s">
        <v>159</v>
      </c>
      <c r="C19" s="575" t="s">
        <v>398</v>
      </c>
      <c r="D19" s="550">
        <f>IF(T!$A$4&gt;=D$42,INDEX('[1]Přepravní soustava'!$C$41:$AL$41,1,MATCH(D$5,'[1]Přepravní soustava'!$C$1:$AL$1,0)+1)/1000,"")</f>
        <v>7059.919245</v>
      </c>
      <c r="E19" s="550">
        <f>IF(T!$A$4&gt;=E$42,INDEX('[1]Přepravní soustava'!$C$41:$AL$41,1,MATCH(E$5,'[1]Přepravní soustava'!$C$1:$AL$1,0)+1)/1000,"")</f>
        <v>7781.4639450000004</v>
      </c>
      <c r="F19" s="577" t="str">
        <f>IF(T!$A$4&gt;=F$42,INDEX('[1]Přepravní soustava'!$C$41:$AL$41,1,MATCH(F$5,'[1]Přepravní soustava'!$C$1:$AL$1,0)+1)/1000,"")</f>
        <v/>
      </c>
      <c r="G19" s="550" t="str">
        <f>IF(T!$A$4&gt;=G$42,INDEX('[1]Přepravní soustava'!$C$41:$AL$41,1,MATCH(G$5,'[1]Přepravní soustava'!$C$1:$AL$1,0)+1)/1000,"")</f>
        <v/>
      </c>
      <c r="H19" s="537" t="str">
        <f>IF(T!$A$4&gt;=H$42,INDEX('[1]Přepravní soustava'!$C$41:$AL$41,1,MATCH(H$5,'[1]Přepravní soustava'!$C$1:$AL$1,0)+1)/1000,"")</f>
        <v/>
      </c>
      <c r="I19" s="552" t="str">
        <f>IF(T!$A$4&gt;=I$42,INDEX('[1]Přepravní soustava'!$C$41:$AL$41,1,MATCH(I$5,'[1]Přepravní soustava'!$C$1:$AL$1,0)+1)/1000,"")</f>
        <v/>
      </c>
      <c r="J19" s="537" t="str">
        <f>IF(T!$A$4&gt;=J$42,INDEX('[1]Přepravní soustava'!$C$41:$AL$41,1,MATCH(J$5,'[1]Přepravní soustava'!$C$1:$AL$1,0)+1)/1000,"")</f>
        <v/>
      </c>
      <c r="K19" s="537" t="str">
        <f>IF(T!$A$4&gt;=K$42,INDEX('[1]Přepravní soustava'!$C$41:$AL$41,1,MATCH(K$5,'[1]Přepravní soustava'!$C$1:$AL$1,0)+1)/1000,"")</f>
        <v/>
      </c>
      <c r="L19" s="552" t="str">
        <f>IF(T!$A$4&gt;=L$42,INDEX('[1]Přepravní soustava'!$C$41:$AL$41,1,MATCH(L$5,'[1]Přepravní soustava'!$C$1:$AL$1,0)+1)/1000,"")</f>
        <v/>
      </c>
      <c r="M19" s="537" t="str">
        <f>IF(T!$A$4&gt;=M$42,INDEX('[1]Přepravní soustava'!$C$41:$AL$41,1,MATCH(M$5,'[1]Přepravní soustava'!$C$1:$AL$1,0)+1)/1000,"")</f>
        <v/>
      </c>
      <c r="N19" s="537" t="str">
        <f>IF(T!$A$4&gt;=N$42,INDEX('[1]Přepravní soustava'!$C$41:$AL$41,1,MATCH(N$5,'[1]Přepravní soustava'!$C$1:$AL$1,0)+1)/1000,"")</f>
        <v/>
      </c>
      <c r="O19" s="537" t="str">
        <f>IF(T!$A$4&gt;=O$42,INDEX('[1]Přepravní soustava'!$C$41:$AL$41,1,MATCH(O$5,'[1]Přepravní soustava'!$C$1:$AL$1,0)+1)/1000,"")</f>
        <v/>
      </c>
      <c r="P19" s="597">
        <f t="shared" si="0"/>
        <v>14841.38319</v>
      </c>
    </row>
    <row r="20" spans="1:19" ht="18" customHeight="1" x14ac:dyDescent="0.2">
      <c r="A20" s="1021"/>
      <c r="B20" s="100" t="s">
        <v>160</v>
      </c>
      <c r="C20" s="575" t="s">
        <v>398</v>
      </c>
      <c r="D20" s="550">
        <f>IF(T!$A$4&gt;=D$42,-INDEX('[1]Přepravní soustava'!$C$45:$AL$45,1,MATCH(D$5,'[1]Přepravní soustava'!$C$1:$AL$1,0)+1)/1000,"")</f>
        <v>-175.246745</v>
      </c>
      <c r="E20" s="550">
        <f>IF(T!$A$4&gt;=E$42,-INDEX('[1]Přepravní soustava'!$C$45:$AL$45,1,MATCH(E$5,'[1]Přepravní soustava'!$C$1:$AL$1,0)+1)/1000,"")</f>
        <v>-101.32244299999999</v>
      </c>
      <c r="F20" s="577" t="str">
        <f>IF(T!$A$4&gt;=F$42,-INDEX('[1]Přepravní soustava'!$C$45:$AL$45,1,MATCH(F$5,'[1]Přepravní soustava'!$C$1:$AL$1,0)+1)/1000,"")</f>
        <v/>
      </c>
      <c r="G20" s="550" t="str">
        <f>IF(T!$A$4&gt;=G$42,-INDEX('[1]Přepravní soustava'!$C$45:$AL$45,1,MATCH(G$5,'[1]Přepravní soustava'!$C$1:$AL$1,0)+1)/1000,"")</f>
        <v/>
      </c>
      <c r="H20" s="537" t="str">
        <f>IF(T!$A$4&gt;=H$42,-INDEX('[1]Přepravní soustava'!$C$45:$AL$45,1,MATCH(H$5,'[1]Přepravní soustava'!$C$1:$AL$1,0)+1)/1000,"")</f>
        <v/>
      </c>
      <c r="I20" s="552" t="str">
        <f>IF(T!$A$4&gt;=I$42,-INDEX('[1]Přepravní soustava'!$C$45:$AL$45,1,MATCH(I$5,'[1]Přepravní soustava'!$C$1:$AL$1,0)+1)/1000,"")</f>
        <v/>
      </c>
      <c r="J20" s="537" t="str">
        <f>IF(T!$A$4&gt;=J$42,-INDEX('[1]Přepravní soustava'!$C$45:$AL$45,1,MATCH(J$5,'[1]Přepravní soustava'!$C$1:$AL$1,0)+1)/1000,"")</f>
        <v/>
      </c>
      <c r="K20" s="537" t="str">
        <f>IF(T!$A$4&gt;=K$42,-INDEX('[1]Přepravní soustava'!$C$45:$AL$45,1,MATCH(K$5,'[1]Přepravní soustava'!$C$1:$AL$1,0)+1)/1000,"")</f>
        <v/>
      </c>
      <c r="L20" s="552" t="str">
        <f>IF(T!$A$4&gt;=L$42,-INDEX('[1]Přepravní soustava'!$C$45:$AL$45,1,MATCH(L$5,'[1]Přepravní soustava'!$C$1:$AL$1,0)+1)/1000,"")</f>
        <v/>
      </c>
      <c r="M20" s="537" t="str">
        <f>IF(T!$A$4&gt;=M$42,-INDEX('[1]Přepravní soustava'!$C$45:$AL$45,1,MATCH(M$5,'[1]Přepravní soustava'!$C$1:$AL$1,0)+1)/1000,"")</f>
        <v/>
      </c>
      <c r="N20" s="537" t="str">
        <f>IF(T!$A$4&gt;=N$42,-INDEX('[1]Přepravní soustava'!$C$45:$AL$45,1,MATCH(N$5,'[1]Přepravní soustava'!$C$1:$AL$1,0)+1)/1000,"")</f>
        <v/>
      </c>
      <c r="O20" s="537" t="str">
        <f>IF(T!$A$4&gt;=O$42,-INDEX('[1]Přepravní soustava'!$C$45:$AL$45,1,MATCH(O$5,'[1]Přepravní soustava'!$C$1:$AL$1,0)+1)/1000,"")</f>
        <v/>
      </c>
      <c r="P20" s="597">
        <f t="shared" si="0"/>
        <v>-276.569188</v>
      </c>
    </row>
    <row r="21" spans="1:19" ht="18" customHeight="1" x14ac:dyDescent="0.2">
      <c r="A21" s="1021"/>
      <c r="B21" s="618" t="s">
        <v>161</v>
      </c>
      <c r="C21" s="575" t="s">
        <v>398</v>
      </c>
      <c r="D21" s="550">
        <f>IF(T!$A$4&gt;=D$42,D19+D20,"")</f>
        <v>6884.6724999999997</v>
      </c>
      <c r="E21" s="550">
        <f>IF(T!$A$4&gt;=E$42,E19+E20,"")</f>
        <v>7680.1415020000004</v>
      </c>
      <c r="F21" s="577" t="str">
        <f>IF(T!$A$4&gt;=F$42,F19+F20,"")</f>
        <v/>
      </c>
      <c r="G21" s="550" t="str">
        <f>IF(T!$A$4&gt;=G$42,G19+G20,"")</f>
        <v/>
      </c>
      <c r="H21" s="537" t="str">
        <f>IF(T!$A$4&gt;=H$42,H19+H20,"")</f>
        <v/>
      </c>
      <c r="I21" s="552" t="str">
        <f>IF(T!$A$4&gt;=I$42,I19+I20,"")</f>
        <v/>
      </c>
      <c r="J21" s="537" t="str">
        <f>IF(T!$A$4&gt;=J$42,J19+J20,"")</f>
        <v/>
      </c>
      <c r="K21" s="537" t="str">
        <f>IF(T!$A$4&gt;=K$42,K19+K20,"")</f>
        <v/>
      </c>
      <c r="L21" s="552" t="str">
        <f>IF(T!$A$4&gt;=L$42,L19+L20,"")</f>
        <v/>
      </c>
      <c r="M21" s="537" t="str">
        <f>IF(T!$A$4&gt;=M$42,M19+M20,"")</f>
        <v/>
      </c>
      <c r="N21" s="537" t="str">
        <f>IF(T!$A$4&gt;=N$42,N19+N20,"")</f>
        <v/>
      </c>
      <c r="O21" s="537" t="str">
        <f>IF(T!$A$4&gt;=O$42,O19+O20,"")</f>
        <v/>
      </c>
      <c r="P21" s="597">
        <f t="shared" si="0"/>
        <v>14564.814001999999</v>
      </c>
    </row>
    <row r="22" spans="1:19" ht="18" customHeight="1" x14ac:dyDescent="0.2">
      <c r="A22" s="1021"/>
      <c r="B22" s="618" t="s">
        <v>390</v>
      </c>
      <c r="C22" s="575" t="s">
        <v>398</v>
      </c>
      <c r="D22" s="550">
        <f>IF(T!$A$4&gt;=D$42,'[10]Stav zásob ČR'!C4,"")</f>
        <v>16158.764895715989</v>
      </c>
      <c r="E22" s="550">
        <f>IF(T!$A$4&gt;=E$42,'[10]Stav zásob ČR'!D4,"")</f>
        <v>8478.6233937159905</v>
      </c>
      <c r="F22" s="577" t="str">
        <f>IF(T!$A$4&gt;=F$42,'[10]Stav zásob ČR'!E4,"")</f>
        <v/>
      </c>
      <c r="G22" s="550" t="str">
        <f>IF(T!$A$4&gt;=G$42,'[10]Stav zásob ČR'!F4,"")</f>
        <v/>
      </c>
      <c r="H22" s="537" t="str">
        <f>IF(T!$A$4&gt;=H$42,'[10]Stav zásob ČR'!G4,"")</f>
        <v/>
      </c>
      <c r="I22" s="552" t="str">
        <f>IF(T!$A$4&gt;=I$42,'[10]Stav zásob ČR'!H4,"")</f>
        <v/>
      </c>
      <c r="J22" s="537" t="str">
        <f>IF(T!$A$4&gt;=J$42,'[10]Stav zásob ČR'!I4,"")</f>
        <v/>
      </c>
      <c r="K22" s="537" t="str">
        <f>IF(T!$A$4&gt;=K$42,'[10]Stav zásob ČR'!J4,"")</f>
        <v/>
      </c>
      <c r="L22" s="552" t="str">
        <f>IF(T!$A$4&gt;=L$42,'[10]Stav zásob ČR'!K4,"")</f>
        <v/>
      </c>
      <c r="M22" s="537" t="str">
        <f>IF(T!$A$4&gt;=M$42,'[10]Stav zásob ČR'!L4,"")</f>
        <v/>
      </c>
      <c r="N22" s="537" t="str">
        <f>IF(T!$A$4&gt;=N$42,'[10]Stav zásob ČR'!M4,"")</f>
        <v/>
      </c>
      <c r="O22" s="537" t="str">
        <f>IF(T!$A$4&gt;=O$42,'[10]Stav zásob ČR'!N4,"")</f>
        <v/>
      </c>
      <c r="P22" s="597">
        <f>INDEX(D22:O22,,T!$A$4)</f>
        <v>8478.6233937159905</v>
      </c>
    </row>
    <row r="23" spans="1:19" ht="9" customHeight="1" x14ac:dyDescent="0.2">
      <c r="A23" s="1022"/>
      <c r="B23" s="521"/>
      <c r="C23" s="505"/>
      <c r="D23" s="554"/>
      <c r="E23" s="554"/>
      <c r="F23" s="585"/>
      <c r="G23" s="554"/>
      <c r="H23" s="556"/>
      <c r="I23" s="557"/>
      <c r="J23" s="556"/>
      <c r="K23" s="556"/>
      <c r="L23" s="557"/>
      <c r="M23" s="556"/>
      <c r="N23" s="556"/>
      <c r="O23" s="556"/>
      <c r="P23" s="598"/>
    </row>
    <row r="24" spans="1:19" ht="9" customHeight="1" x14ac:dyDescent="0.2">
      <c r="A24" s="510"/>
      <c r="B24" s="468"/>
      <c r="C24" s="527"/>
      <c r="D24" s="502"/>
      <c r="E24" s="502"/>
      <c r="F24" s="528"/>
      <c r="G24" s="502"/>
      <c r="H24" s="502"/>
      <c r="I24" s="528"/>
      <c r="J24" s="502"/>
      <c r="K24" s="502"/>
      <c r="L24" s="528"/>
      <c r="M24" s="502"/>
      <c r="N24" s="502"/>
      <c r="O24" s="502"/>
      <c r="P24" s="597"/>
    </row>
    <row r="25" spans="1:19" ht="18" customHeight="1" x14ac:dyDescent="0.2">
      <c r="A25" s="966" t="s">
        <v>264</v>
      </c>
      <c r="B25" s="966"/>
      <c r="C25" s="575" t="s">
        <v>253</v>
      </c>
      <c r="D25" s="537">
        <f>IF(T!$A$4&gt;=D$42,INDEX('[3]Poklady MZ'!$C$17:$Z$17,1,MATCH(D$5,'[3]Poklady MZ'!$C$1:$Z$1,0))/1000,"")</f>
        <v>14.180403000000002</v>
      </c>
      <c r="E25" s="550">
        <f>IF(T!$A$4&gt;=E$42,INDEX('[3]Poklady MZ'!$C$17:$Z$17,1,MATCH(E$5,'[3]Poklady MZ'!$C$1:$Z$1,0))/1000,"")</f>
        <v>13.270028</v>
      </c>
      <c r="F25" s="577" t="str">
        <f>IF(T!$A$4&gt;=F$42,INDEX('[3]Poklady MZ'!$C$17:$Z$17,1,MATCH(F$5,'[3]Poklady MZ'!$C$1:$Z$1,0))/1000,"")</f>
        <v/>
      </c>
      <c r="G25" s="550" t="str">
        <f>IF(T!$A$4&gt;=G$42,INDEX('[3]Poklady MZ'!$C$17:$Z$17,1,MATCH(G$5,'[3]Poklady MZ'!$C$1:$Z$1,0))/1000,"")</f>
        <v/>
      </c>
      <c r="H25" s="537" t="str">
        <f>IF(T!$A$4&gt;=H$42,INDEX('[3]Poklady MZ'!$C$17:$Z$17,1,MATCH(H$5,'[3]Poklady MZ'!$C$1:$Z$1,0))/1000,"")</f>
        <v/>
      </c>
      <c r="I25" s="552" t="str">
        <f>IF(T!$A$4&gt;=I$42,INDEX('[3]Poklady MZ'!$C$17:$Z$17,1,MATCH(I$5,'[3]Poklady MZ'!$C$1:$Z$1,0))/1000,"")</f>
        <v/>
      </c>
      <c r="J25" s="537" t="str">
        <f>IF(T!$A$4&gt;=J$42,INDEX('[3]Poklady MZ'!$C$17:$Z$17,1,MATCH(J$5,'[3]Poklady MZ'!$C$1:$Z$1,0))/1000,"")</f>
        <v/>
      </c>
      <c r="K25" s="537" t="str">
        <f>IF(T!$A$4&gt;=K$42,INDEX('[3]Poklady MZ'!$C$17:$Z$17,1,MATCH(K$5,'[3]Poklady MZ'!$C$1:$Z$1,0))/1000,"")</f>
        <v/>
      </c>
      <c r="L25" s="552" t="str">
        <f>IF(T!$A$4&gt;=L$42,INDEX('[3]Poklady MZ'!$C$17:$Z$17,1,MATCH(L$5,'[3]Poklady MZ'!$C$1:$Z$1,0))/1000,"")</f>
        <v/>
      </c>
      <c r="M25" s="537" t="str">
        <f>IF(T!$A$4&gt;=M$42,INDEX('[3]Poklady MZ'!$C$17:$Z$17,1,MATCH(M$5,'[3]Poklady MZ'!$C$1:$Z$1,0))/1000,"")</f>
        <v/>
      </c>
      <c r="N25" s="537" t="str">
        <f>IF(T!$A$4&gt;=N$42,INDEX('[3]Poklady MZ'!$C$17:$Z$17,1,MATCH(N$5,'[3]Poklady MZ'!$C$1:$Z$1,0))/1000,"")</f>
        <v/>
      </c>
      <c r="O25" s="537" t="str">
        <f>IF(T!$A$4&gt;=O$42,INDEX('[3]Poklady MZ'!$C$17:$Z$17,1,MATCH(O$5,'[3]Poklady MZ'!$C$1:$Z$1,0))/1000,"")</f>
        <v/>
      </c>
      <c r="P25" s="597">
        <f t="shared" si="0"/>
        <v>27.450431000000002</v>
      </c>
    </row>
    <row r="26" spans="1:19" ht="18" customHeight="1" x14ac:dyDescent="0.2">
      <c r="A26" s="966" t="s">
        <v>264</v>
      </c>
      <c r="B26" s="966"/>
      <c r="C26" s="575" t="s">
        <v>398</v>
      </c>
      <c r="D26" s="550">
        <f>IF(T!$A$4&gt;=D$42,INDEX('[3]Poklady MZ'!$C$17:$Z$17,1,MATCH(D$5,'[3]Poklady MZ'!$C$1:$Z$1,0)+1)/1000,"")</f>
        <v>154.08155320000003</v>
      </c>
      <c r="E26" s="550">
        <f>IF(T!$A$4&gt;=E$42,INDEX('[3]Poklady MZ'!$C$17:$Z$17,1,MATCH(E$5,'[3]Poklady MZ'!$C$1:$Z$1,0)+1)/1000,"")</f>
        <v>144.12608200000003</v>
      </c>
      <c r="F26" s="577" t="str">
        <f>IF(T!$A$4&gt;=F$42,INDEX('[3]Poklady MZ'!$C$17:$Z$17,1,MATCH(F$5,'[3]Poklady MZ'!$C$1:$Z$1,0)+1)/1000,"")</f>
        <v/>
      </c>
      <c r="G26" s="550" t="str">
        <f>IF(T!$A$4&gt;=G$42,INDEX('[3]Poklady MZ'!$C$17:$Z$17,1,MATCH(G$5,'[3]Poklady MZ'!$C$1:$Z$1,0)+1)/1000,"")</f>
        <v/>
      </c>
      <c r="H26" s="537" t="str">
        <f>IF(T!$A$4&gt;=H$42,INDEX('[3]Poklady MZ'!$C$17:$Z$17,1,MATCH(H$5,'[3]Poklady MZ'!$C$1:$Z$1,0)+1)/1000,"")</f>
        <v/>
      </c>
      <c r="I26" s="552" t="str">
        <f>IF(T!$A$4&gt;=I$42,INDEX('[3]Poklady MZ'!$C$17:$Z$17,1,MATCH(I$5,'[3]Poklady MZ'!$C$1:$Z$1,0)+1)/1000,"")</f>
        <v/>
      </c>
      <c r="J26" s="537" t="str">
        <f>IF(T!$A$4&gt;=J$42,INDEX('[3]Poklady MZ'!$C$17:$Z$17,1,MATCH(J$5,'[3]Poklady MZ'!$C$1:$Z$1,0)+1)/1000,"")</f>
        <v/>
      </c>
      <c r="K26" s="537" t="str">
        <f>IF(T!$A$4&gt;=K$42,INDEX('[3]Poklady MZ'!$C$17:$Z$17,1,MATCH(K$5,'[3]Poklady MZ'!$C$1:$Z$1,0)+1)/1000,"")</f>
        <v/>
      </c>
      <c r="L26" s="552" t="str">
        <f>IF(T!$A$4&gt;=L$42,INDEX('[3]Poklady MZ'!$C$17:$Z$17,1,MATCH(L$5,'[3]Poklady MZ'!$C$1:$Z$1,0)+1)/1000,"")</f>
        <v/>
      </c>
      <c r="M26" s="537" t="str">
        <f>IF(T!$A$4&gt;=M$42,INDEX('[3]Poklady MZ'!$C$17:$Z$17,1,MATCH(M$5,'[3]Poklady MZ'!$C$1:$Z$1,0)+1)/1000,"")</f>
        <v/>
      </c>
      <c r="N26" s="537" t="str">
        <f>IF(T!$A$4&gt;=N$42,INDEX('[3]Poklady MZ'!$C$17:$Z$17,1,MATCH(N$5,'[3]Poklady MZ'!$C$1:$Z$1,0)+1)/1000,"")</f>
        <v/>
      </c>
      <c r="O26" s="537" t="str">
        <f>IF(T!$A$4&gt;=O$42,INDEX('[3]Poklady MZ'!$C$17:$Z$17,1,MATCH(O$5,'[3]Poklady MZ'!$C$1:$Z$1,0)+1)/1000,"")</f>
        <v/>
      </c>
      <c r="P26" s="597">
        <f t="shared" si="0"/>
        <v>298.20763520000003</v>
      </c>
    </row>
    <row r="27" spans="1:19" ht="9" customHeight="1" x14ac:dyDescent="0.2">
      <c r="A27" s="509"/>
      <c r="B27" s="620"/>
      <c r="C27" s="580"/>
      <c r="D27" s="554"/>
      <c r="E27" s="554"/>
      <c r="F27" s="585"/>
      <c r="G27" s="554"/>
      <c r="H27" s="556"/>
      <c r="I27" s="557"/>
      <c r="J27" s="556"/>
      <c r="K27" s="556"/>
      <c r="L27" s="557"/>
      <c r="M27" s="556"/>
      <c r="N27" s="556"/>
      <c r="O27" s="556"/>
      <c r="P27" s="598"/>
    </row>
    <row r="28" spans="1:19" ht="9" customHeight="1" x14ac:dyDescent="0.2">
      <c r="A28" s="510"/>
      <c r="B28" s="468"/>
      <c r="C28" s="527"/>
      <c r="D28" s="502"/>
      <c r="E28" s="502"/>
      <c r="F28" s="528"/>
      <c r="G28" s="502"/>
      <c r="H28" s="502"/>
      <c r="I28" s="528"/>
      <c r="J28" s="502"/>
      <c r="K28" s="502"/>
      <c r="L28" s="528"/>
      <c r="M28" s="502"/>
      <c r="N28" s="502"/>
      <c r="O28" s="502"/>
      <c r="P28" s="597"/>
    </row>
    <row r="29" spans="1:19" ht="18" customHeight="1" x14ac:dyDescent="0.2">
      <c r="A29" s="966" t="s">
        <v>263</v>
      </c>
      <c r="B29" s="966"/>
      <c r="C29" s="575" t="s">
        <v>253</v>
      </c>
      <c r="D29" s="537">
        <f>IF(T!$A$4&gt;=D$42,-INDEX('[1]Přepravní soustava'!$C$49:$AL$49,1,MATCH(D$5,'[1]Přepravní soustava'!$C$1:$AL$1,0))/1000,"")</f>
        <v>-18.117960132158839</v>
      </c>
      <c r="E29" s="550">
        <f>IF(T!$A$4&gt;=E$42,-INDEX('[1]Přepravní soustava'!$C$49:$AL$49,1,MATCH(E$5,'[1]Přepravní soustava'!$C$1:$AL$1,0))/1000,"")</f>
        <v>-12.684402622247585</v>
      </c>
      <c r="F29" s="577" t="str">
        <f>IF(T!$A$4&gt;=F$42,-INDEX('[1]Přepravní soustava'!$C$49:$AL$49,1,MATCH(F$5,'[1]Přepravní soustava'!$C$1:$AL$1,0))/1000,"")</f>
        <v/>
      </c>
      <c r="G29" s="550" t="str">
        <f>IF(T!$A$4&gt;=G$42,-INDEX('[1]Přepravní soustava'!$C$49:$AL$49,1,MATCH(G$5,'[1]Přepravní soustava'!$C$1:$AL$1,0))/1000,"")</f>
        <v/>
      </c>
      <c r="H29" s="537" t="str">
        <f>IF(T!$A$4&gt;=H$42,-INDEX('[1]Přepravní soustava'!$C$49:$AL$49,1,MATCH(H$5,'[1]Přepravní soustava'!$C$1:$AL$1,0))/1000,"")</f>
        <v/>
      </c>
      <c r="I29" s="552" t="str">
        <f>IF(T!$A$4&gt;=I$42,-INDEX('[1]Přepravní soustava'!$C$49:$AL$49,1,MATCH(I$5,'[1]Přepravní soustava'!$C$1:$AL$1,0))/1000,"")</f>
        <v/>
      </c>
      <c r="J29" s="537" t="str">
        <f>IF(T!$A$4&gt;=J$42,-INDEX('[1]Přepravní soustava'!$C$49:$AL$49,1,MATCH(J$5,'[1]Přepravní soustava'!$C$1:$AL$1,0))/1000,"")</f>
        <v/>
      </c>
      <c r="K29" s="537" t="str">
        <f>IF(T!$A$4&gt;=K$42,-INDEX('[1]Přepravní soustava'!$C$49:$AL$49,1,MATCH(K$5,'[1]Přepravní soustava'!$C$1:$AL$1,0))/1000,"")</f>
        <v/>
      </c>
      <c r="L29" s="552" t="str">
        <f>IF(T!$A$4&gt;=L$42,-INDEX('[1]Přepravní soustava'!$C$49:$AL$49,1,MATCH(L$5,'[1]Přepravní soustava'!$C$1:$AL$1,0))/1000,"")</f>
        <v/>
      </c>
      <c r="M29" s="537" t="str">
        <f>IF(T!$A$4&gt;=M$42,-INDEX('[1]Přepravní soustava'!$C$49:$AL$49,1,MATCH(M$5,'[1]Přepravní soustava'!$C$1:$AL$1,0))/1000,"")</f>
        <v/>
      </c>
      <c r="N29" s="537" t="str">
        <f>IF(T!$A$4&gt;=N$42,-INDEX('[1]Přepravní soustava'!$C$49:$AL$49,1,MATCH(N$5,'[1]Přepravní soustava'!$C$1:$AL$1,0))/1000,"")</f>
        <v/>
      </c>
      <c r="O29" s="537" t="str">
        <f>IF(T!$A$4&gt;=O$42,-INDEX('[1]Přepravní soustava'!$C$49:$AL$49,1,MATCH(O$5,'[1]Přepravní soustava'!$C$1:$AL$1,0))/1000,"")</f>
        <v/>
      </c>
      <c r="P29" s="597">
        <f t="shared" si="0"/>
        <v>-30.802362754406424</v>
      </c>
    </row>
    <row r="30" spans="1:19" ht="18" customHeight="1" x14ac:dyDescent="0.2">
      <c r="A30" s="966" t="s">
        <v>263</v>
      </c>
      <c r="B30" s="966"/>
      <c r="C30" s="575" t="s">
        <v>398</v>
      </c>
      <c r="D30" s="550">
        <f>IF(T!$A$4&gt;=D$42,-INDEX('[1]Přepravní soustava'!$C$49:$AL$49,1,MATCH(D$5,'[1]Přepravní soustava'!$C$1:$AL$1,0)+1)/1000,"")</f>
        <v>-179.50949799999512</v>
      </c>
      <c r="E30" s="550">
        <f>IF(T!$A$4&gt;=E$42,-INDEX('[1]Přepravní soustava'!$C$49:$AL$49,1,MATCH(E$5,'[1]Přepravní soustava'!$C$1:$AL$1,0)+1)/1000,"")</f>
        <v>-129.10178000000303</v>
      </c>
      <c r="F30" s="577" t="str">
        <f>IF(T!$A$4&gt;=F$42,-INDEX('[1]Přepravní soustava'!$C$49:$AL$49,1,MATCH(F$5,'[1]Přepravní soustava'!$C$1:$AL$1,0)+1)/1000,"")</f>
        <v/>
      </c>
      <c r="G30" s="550" t="str">
        <f>IF(T!$A$4&gt;=G$42,-INDEX('[1]Přepravní soustava'!$C$49:$AL$49,1,MATCH(G$5,'[1]Přepravní soustava'!$C$1:$AL$1,0)+1)/1000,"")</f>
        <v/>
      </c>
      <c r="H30" s="537" t="str">
        <f>IF(T!$A$4&gt;=H$42,-INDEX('[1]Přepravní soustava'!$C$49:$AL$49,1,MATCH(H$5,'[1]Přepravní soustava'!$C$1:$AL$1,0)+1)/1000,"")</f>
        <v/>
      </c>
      <c r="I30" s="552" t="str">
        <f>IF(T!$A$4&gt;=I$42,-INDEX('[1]Přepravní soustava'!$C$49:$AL$49,1,MATCH(I$5,'[1]Přepravní soustava'!$C$1:$AL$1,0)+1)/1000,"")</f>
        <v/>
      </c>
      <c r="J30" s="537" t="str">
        <f>IF(T!$A$4&gt;=J$42,-INDEX('[1]Přepravní soustava'!$C$49:$AL$49,1,MATCH(J$5,'[1]Přepravní soustava'!$C$1:$AL$1,0)+1)/1000,"")</f>
        <v/>
      </c>
      <c r="K30" s="537" t="str">
        <f>IF(T!$A$4&gt;=K$42,-INDEX('[1]Přepravní soustava'!$C$49:$AL$49,1,MATCH(K$5,'[1]Přepravní soustava'!$C$1:$AL$1,0)+1)/1000,"")</f>
        <v/>
      </c>
      <c r="L30" s="552" t="str">
        <f>IF(T!$A$4&gt;=L$42,-INDEX('[1]Přepravní soustava'!$C$49:$AL$49,1,MATCH(L$5,'[1]Přepravní soustava'!$C$1:$AL$1,0)+1)/1000,"")</f>
        <v/>
      </c>
      <c r="M30" s="537" t="str">
        <f>IF(T!$A$4&gt;=M$42,-INDEX('[1]Přepravní soustava'!$C$49:$AL$49,1,MATCH(M$5,'[1]Přepravní soustava'!$C$1:$AL$1,0)+1)/1000,"")</f>
        <v/>
      </c>
      <c r="N30" s="537" t="str">
        <f>IF(T!$A$4&gt;=N$42,-INDEX('[1]Přepravní soustava'!$C$49:$AL$49,1,MATCH(N$5,'[1]Přepravní soustava'!$C$1:$AL$1,0)+1)/1000,"")</f>
        <v/>
      </c>
      <c r="O30" s="537" t="str">
        <f>IF(T!$A$4&gt;=O$42,-INDEX('[1]Přepravní soustava'!$C$49:$AL$49,1,MATCH(O$5,'[1]Přepravní soustava'!$C$1:$AL$1,0)+1)/1000,"")</f>
        <v/>
      </c>
      <c r="P30" s="597">
        <f t="shared" si="0"/>
        <v>-308.61127799999815</v>
      </c>
    </row>
    <row r="31" spans="1:19" ht="9" customHeight="1" x14ac:dyDescent="0.2">
      <c r="A31" s="509"/>
      <c r="B31" s="620"/>
      <c r="C31" s="580"/>
      <c r="D31" s="554"/>
      <c r="E31" s="554"/>
      <c r="F31" s="585"/>
      <c r="G31" s="554"/>
      <c r="H31" s="556"/>
      <c r="I31" s="557"/>
      <c r="J31" s="556"/>
      <c r="K31" s="556"/>
      <c r="L31" s="557"/>
      <c r="M31" s="556"/>
      <c r="N31" s="556"/>
      <c r="O31" s="556"/>
      <c r="P31" s="598"/>
    </row>
    <row r="32" spans="1:19" ht="9" customHeight="1" x14ac:dyDescent="0.2">
      <c r="A32" s="1035"/>
      <c r="B32" s="621"/>
      <c r="C32" s="606"/>
      <c r="D32" s="607"/>
      <c r="E32" s="607"/>
      <c r="F32" s="608"/>
      <c r="G32" s="607"/>
      <c r="H32" s="607"/>
      <c r="I32" s="608"/>
      <c r="J32" s="607"/>
      <c r="K32" s="607"/>
      <c r="L32" s="608"/>
      <c r="M32" s="607"/>
      <c r="N32" s="607"/>
      <c r="O32" s="607"/>
      <c r="P32" s="602"/>
    </row>
    <row r="33" spans="1:16" ht="18" customHeight="1" x14ac:dyDescent="0.2">
      <c r="A33" s="1033"/>
      <c r="B33" s="622" t="s">
        <v>85</v>
      </c>
      <c r="C33" s="573" t="s">
        <v>253</v>
      </c>
      <c r="D33" s="529">
        <f>IF(T!$A$4&gt;=D$42,D9+D17+D25+D29,"")</f>
        <v>1081.281222384222</v>
      </c>
      <c r="E33" s="530">
        <f>IF(T!$A$4&gt;=E$42,E9+E17+E25+E29,"")</f>
        <v>989.8668869294786</v>
      </c>
      <c r="F33" s="531" t="str">
        <f>IF(T!$A$4&gt;=F$42,F9+F17+F25+F29,"")</f>
        <v/>
      </c>
      <c r="G33" s="530" t="str">
        <f>IF(T!$A$4&gt;=G$42,G9+G17+G25+G29,"")</f>
        <v/>
      </c>
      <c r="H33" s="529" t="str">
        <f>IF(T!$A$4&gt;=H$42,H9+H17+H25+H29,"")</f>
        <v/>
      </c>
      <c r="I33" s="532" t="str">
        <f>IF(T!$A$4&gt;=I$42,I9+I17+I25+I29,"")</f>
        <v/>
      </c>
      <c r="J33" s="529" t="str">
        <f>IF(T!$A$4&gt;=J$42,J9+J17+J25+J29,"")</f>
        <v/>
      </c>
      <c r="K33" s="529" t="str">
        <f>IF(T!$A$4&gt;=K$42,K9+K17+K25+K29,"")</f>
        <v/>
      </c>
      <c r="L33" s="532" t="str">
        <f>IF(T!$A$4&gt;=L$42,L9+L17+L25+L29,"")</f>
        <v/>
      </c>
      <c r="M33" s="529" t="str">
        <f>IF(T!$A$4&gt;=M$42,M9+M17+M25+M29,"")</f>
        <v/>
      </c>
      <c r="N33" s="529" t="str">
        <f>IF(T!$A$4&gt;=N$42,N9+N17+N25+N29,"")</f>
        <v/>
      </c>
      <c r="O33" s="529" t="str">
        <f>IF(T!$A$4&gt;=O$42,O9+O17+O25+O29,"")</f>
        <v/>
      </c>
      <c r="P33" s="602">
        <f t="shared" si="0"/>
        <v>2071.1481093137008</v>
      </c>
    </row>
    <row r="34" spans="1:16" ht="18" customHeight="1" x14ac:dyDescent="0.2">
      <c r="A34" s="1033"/>
      <c r="B34" s="622" t="s">
        <v>85</v>
      </c>
      <c r="C34" s="573" t="s">
        <v>398</v>
      </c>
      <c r="D34" s="530">
        <f>IF(T!$A$4&gt;=D$42,D12+D21+D26+D30,"")</f>
        <v>11492.758327553393</v>
      </c>
      <c r="E34" s="530">
        <f>IF(T!$A$4&gt;=E$42,E12+E21+E26+E30,"")</f>
        <v>10525.401381702706</v>
      </c>
      <c r="F34" s="531" t="str">
        <f>IF(T!$A$4&gt;=F$42,F12+F21+F26+F30,"")</f>
        <v/>
      </c>
      <c r="G34" s="530" t="str">
        <f>IF(T!$A$4&gt;=G$42,G12+G21+G26+G30,"")</f>
        <v/>
      </c>
      <c r="H34" s="529" t="str">
        <f>IF(T!$A$4&gt;=H$42,H12+H21+H26+H30,"")</f>
        <v/>
      </c>
      <c r="I34" s="532" t="str">
        <f>IF(T!$A$4&gt;=I$42,I12+I21+I26+I30,"")</f>
        <v/>
      </c>
      <c r="J34" s="529" t="str">
        <f>IF(T!$A$4&gt;=J$42,J12+J21+J26+J30,"")</f>
        <v/>
      </c>
      <c r="K34" s="529" t="str">
        <f>IF(T!$A$4&gt;=K$42,K12+K21+K26+K30,"")</f>
        <v/>
      </c>
      <c r="L34" s="532" t="str">
        <f>IF(T!$A$4&gt;=L$42,L12+L21+L26+L30,"")</f>
        <v/>
      </c>
      <c r="M34" s="529" t="str">
        <f>IF(T!$A$4&gt;=M$42,M12+M21+M26+M30,"")</f>
        <v/>
      </c>
      <c r="N34" s="529" t="str">
        <f>IF(T!$A$4&gt;=N$42,N12+N21+N26+N30,"")</f>
        <v/>
      </c>
      <c r="O34" s="529" t="str">
        <f>IF(T!$A$4&gt;=O$42,O12+O21+O26+O30,"")</f>
        <v/>
      </c>
      <c r="P34" s="602">
        <f t="shared" si="0"/>
        <v>22018.159709256099</v>
      </c>
    </row>
    <row r="35" spans="1:16" ht="9" customHeight="1" x14ac:dyDescent="0.2">
      <c r="A35" s="1034"/>
      <c r="B35" s="623"/>
      <c r="C35" s="610"/>
      <c r="D35" s="611"/>
      <c r="E35" s="611"/>
      <c r="F35" s="612"/>
      <c r="G35" s="611"/>
      <c r="H35" s="613"/>
      <c r="I35" s="614"/>
      <c r="J35" s="613"/>
      <c r="K35" s="613"/>
      <c r="L35" s="614"/>
      <c r="M35" s="613"/>
      <c r="N35" s="613"/>
      <c r="O35" s="613"/>
      <c r="P35" s="615"/>
    </row>
    <row r="36" spans="1:16" x14ac:dyDescent="0.2">
      <c r="A36" s="39"/>
      <c r="B36" s="508"/>
      <c r="C36" s="587"/>
      <c r="G36" s="517"/>
      <c r="H36" s="508"/>
      <c r="I36" s="507"/>
      <c r="M36" s="517"/>
      <c r="N36" s="508"/>
      <c r="O36" s="508"/>
      <c r="P36" s="619"/>
    </row>
    <row r="37" spans="1:16" x14ac:dyDescent="0.2">
      <c r="P37" s="601"/>
    </row>
    <row r="42" spans="1:16" x14ac:dyDescent="0.2">
      <c r="E42" s="827">
        <v>2</v>
      </c>
      <c r="F42" s="827">
        <v>3</v>
      </c>
      <c r="G42" s="827">
        <v>4</v>
      </c>
      <c r="H42" s="827">
        <v>5</v>
      </c>
      <c r="I42" s="827">
        <v>6</v>
      </c>
      <c r="J42" s="827">
        <v>7</v>
      </c>
      <c r="K42" s="827">
        <v>8</v>
      </c>
      <c r="L42" s="827">
        <v>9</v>
      </c>
      <c r="M42" s="827">
        <v>10</v>
      </c>
      <c r="N42" s="827">
        <v>11</v>
      </c>
      <c r="O42" s="827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>
      <selection activeCell="L17" sqref="L17"/>
    </sheetView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973" t="s">
        <v>56</v>
      </c>
      <c r="Q1" s="973"/>
    </row>
    <row r="2" spans="1:18" ht="15" customHeight="1" x14ac:dyDescent="0.25">
      <c r="A2" s="1036" t="s">
        <v>48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1036"/>
      <c r="Q2" s="1036"/>
    </row>
    <row r="3" spans="1:18" ht="15" customHeight="1" x14ac:dyDescent="0.25">
      <c r="A3" s="1039">
        <f>T!$I$21</f>
        <v>2015</v>
      </c>
      <c r="B3" s="1040"/>
      <c r="C3" s="1040"/>
      <c r="D3" s="1040"/>
      <c r="E3" s="1040"/>
      <c r="F3" s="1040"/>
      <c r="G3" s="1040"/>
      <c r="H3" s="1040"/>
      <c r="I3" s="1040"/>
      <c r="J3" s="1040"/>
      <c r="K3" s="1040"/>
      <c r="L3" s="1040"/>
      <c r="M3" s="1040"/>
      <c r="N3" s="1040"/>
      <c r="O3" s="1040"/>
      <c r="P3" s="1040"/>
      <c r="Q3" s="1040"/>
    </row>
    <row r="4" spans="1:18" ht="9.9499999999999993" customHeight="1" x14ac:dyDescent="0.25">
      <c r="A4" s="9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835"/>
      <c r="P5" s="1037" t="s">
        <v>78</v>
      </c>
      <c r="Q5" s="54"/>
    </row>
    <row r="6" spans="1:18" ht="15" customHeight="1" thickBot="1" x14ac:dyDescent="0.25">
      <c r="A6" s="120" t="s">
        <v>129</v>
      </c>
      <c r="B6" s="122" t="s">
        <v>13</v>
      </c>
      <c r="C6" s="112" t="s">
        <v>58</v>
      </c>
      <c r="D6" s="112" t="s">
        <v>59</v>
      </c>
      <c r="E6" s="112" t="s">
        <v>60</v>
      </c>
      <c r="F6" s="112" t="s">
        <v>61</v>
      </c>
      <c r="G6" s="112" t="s">
        <v>62</v>
      </c>
      <c r="H6" s="112" t="s">
        <v>63</v>
      </c>
      <c r="I6" s="112" t="s">
        <v>64</v>
      </c>
      <c r="J6" s="112" t="s">
        <v>65</v>
      </c>
      <c r="K6" s="112" t="s">
        <v>66</v>
      </c>
      <c r="L6" s="112" t="s">
        <v>67</v>
      </c>
      <c r="M6" s="113" t="s">
        <v>68</v>
      </c>
      <c r="N6" s="114" t="s">
        <v>2</v>
      </c>
      <c r="O6" s="52"/>
      <c r="P6" s="1038"/>
      <c r="Q6" s="113" t="s">
        <v>79</v>
      </c>
      <c r="R6" s="16"/>
    </row>
    <row r="7" spans="1:18" ht="15" customHeight="1" x14ac:dyDescent="0.2">
      <c r="A7" s="644" t="s">
        <v>6</v>
      </c>
      <c r="B7" s="645">
        <f>IF(T!$A$4&gt;=MONTH(B$6&amp;$A$3),'[11]Podklady MZ'!B3,"")</f>
        <v>281</v>
      </c>
      <c r="C7" s="646">
        <f>IF(T!$A$4&gt;=MONTH(C$6&amp;$A$3),'[11]Podklady MZ'!C3,"")</f>
        <v>10</v>
      </c>
      <c r="D7" s="646" t="str">
        <f>IF(T!$A$4&gt;=MONTH(D$6&amp;$A$3),'[11]Podklady MZ'!D3,"")</f>
        <v/>
      </c>
      <c r="E7" s="646" t="str">
        <f>IF(T!$A$4&gt;=MONTH(E$6&amp;$A$3),'[11]Podklady MZ'!E3,"")</f>
        <v/>
      </c>
      <c r="F7" s="646" t="str">
        <f>IF(T!$A$4&gt;=MONTH(F$6&amp;$A$3),'[11]Podklady MZ'!F3,"")</f>
        <v/>
      </c>
      <c r="G7" s="646" t="str">
        <f>IF(T!$A$4&gt;=MONTH(G$6&amp;$A$3),'[11]Podklady MZ'!G3,"")</f>
        <v/>
      </c>
      <c r="H7" s="646" t="str">
        <f>IF(T!$A$4&gt;=MONTH(H$6&amp;$A$3),'[11]Podklady MZ'!H3,"")</f>
        <v/>
      </c>
      <c r="I7" s="646" t="str">
        <f>IF(T!$A$4&gt;=MONTH(I$6&amp;$A$3),'[11]Podklady MZ'!I3,"")</f>
        <v/>
      </c>
      <c r="J7" s="646" t="str">
        <f>IF(T!$A$4&gt;=MONTH(J$6&amp;$A$3),'[11]Podklady MZ'!J3,"")</f>
        <v/>
      </c>
      <c r="K7" s="646" t="str">
        <f>IF(T!$A$4&gt;=MONTH(K$6&amp;$A$3),'[11]Podklady MZ'!K3,"")</f>
        <v/>
      </c>
      <c r="L7" s="646" t="str">
        <f>IF(T!$A$4&gt;=MONTH(L$6&amp;$A$3),'[11]Podklady MZ'!L3,"")</f>
        <v/>
      </c>
      <c r="M7" s="647" t="str">
        <f>IF(T!$A$4&gt;=MONTH(M$6&amp;$A$3),'[11]Podklady MZ'!M3,"")</f>
        <v/>
      </c>
      <c r="N7" s="648">
        <f>SUM(B7:M7)</f>
        <v>291</v>
      </c>
      <c r="O7" s="53"/>
      <c r="P7" s="649">
        <f>'5'!D11</f>
        <v>1592</v>
      </c>
      <c r="Q7" s="650">
        <f>N7/P7</f>
        <v>0.18278894472361809</v>
      </c>
    </row>
    <row r="8" spans="1:18" ht="15" customHeight="1" x14ac:dyDescent="0.2">
      <c r="A8" s="644" t="s">
        <v>7</v>
      </c>
      <c r="B8" s="645">
        <f>IF(T!$A$4&gt;=MONTH(B$6&amp;$A$3),'[11]Podklady MZ'!B4,"")</f>
        <v>1043</v>
      </c>
      <c r="C8" s="646">
        <f>IF(T!$A$4&gt;=MONTH(C$6&amp;$A$3),'[11]Podklady MZ'!C4,"")</f>
        <v>27</v>
      </c>
      <c r="D8" s="646" t="str">
        <f>IF(T!$A$4&gt;=MONTH(D$6&amp;$A$3),'[11]Podklady MZ'!D4,"")</f>
        <v/>
      </c>
      <c r="E8" s="646" t="str">
        <f>IF(T!$A$4&gt;=MONTH(E$6&amp;$A$3),'[11]Podklady MZ'!E4,"")</f>
        <v/>
      </c>
      <c r="F8" s="646" t="str">
        <f>IF(T!$A$4&gt;=MONTH(F$6&amp;$A$3),'[11]Podklady MZ'!F4,"")</f>
        <v/>
      </c>
      <c r="G8" s="646" t="str">
        <f>IF(T!$A$4&gt;=MONTH(G$6&amp;$A$3),'[11]Podklady MZ'!G4,"")</f>
        <v/>
      </c>
      <c r="H8" s="646" t="str">
        <f>IF(T!$A$4&gt;=MONTH(H$6&amp;$A$3),'[11]Podklady MZ'!H4,"")</f>
        <v/>
      </c>
      <c r="I8" s="646" t="str">
        <f>IF(T!$A$4&gt;=MONTH(I$6&amp;$A$3),'[11]Podklady MZ'!I4,"")</f>
        <v/>
      </c>
      <c r="J8" s="646" t="str">
        <f>IF(T!$A$4&gt;=MONTH(J$6&amp;$A$3),'[11]Podklady MZ'!J4,"")</f>
        <v/>
      </c>
      <c r="K8" s="646" t="str">
        <f>IF(T!$A$4&gt;=MONTH(K$6&amp;$A$3),'[11]Podklady MZ'!K4,"")</f>
        <v/>
      </c>
      <c r="L8" s="646" t="str">
        <f>IF(T!$A$4&gt;=MONTH(L$6&amp;$A$3),'[11]Podklady MZ'!L4,"")</f>
        <v/>
      </c>
      <c r="M8" s="647" t="str">
        <f>IF(T!$A$4&gt;=MONTH(M$6&amp;$A$3),'[11]Podklady MZ'!M4,"")</f>
        <v/>
      </c>
      <c r="N8" s="648">
        <f t="shared" ref="N8:N10" si="0">SUM(B8:M8)</f>
        <v>1070</v>
      </c>
      <c r="O8" s="53"/>
      <c r="P8" s="649">
        <f>'5'!D12</f>
        <v>6843</v>
      </c>
      <c r="Q8" s="650">
        <f>N8/P8</f>
        <v>0.1563641677626772</v>
      </c>
    </row>
    <row r="9" spans="1:18" ht="15" customHeight="1" x14ac:dyDescent="0.2">
      <c r="A9" s="644" t="s">
        <v>8</v>
      </c>
      <c r="B9" s="645">
        <f>IF(T!$A$4&gt;=MONTH(B$6&amp;$A$3),'[11]Podklady MZ'!B5,"")</f>
        <v>10986</v>
      </c>
      <c r="C9" s="646">
        <f>IF(T!$A$4&gt;=MONTH(C$6&amp;$A$3),'[11]Podklady MZ'!C5,"")</f>
        <v>829</v>
      </c>
      <c r="D9" s="646" t="str">
        <f>IF(T!$A$4&gt;=MONTH(D$6&amp;$A$3),'[11]Podklady MZ'!D5,"")</f>
        <v/>
      </c>
      <c r="E9" s="646" t="str">
        <f>IF(T!$A$4&gt;=MONTH(E$6&amp;$A$3),'[11]Podklady MZ'!E5,"")</f>
        <v/>
      </c>
      <c r="F9" s="646" t="str">
        <f>IF(T!$A$4&gt;=MONTH(F$6&amp;$A$3),'[11]Podklady MZ'!F5,"")</f>
        <v/>
      </c>
      <c r="G9" s="646" t="str">
        <f>IF(T!$A$4&gt;=MONTH(G$6&amp;$A$3),'[11]Podklady MZ'!G5,"")</f>
        <v/>
      </c>
      <c r="H9" s="646" t="str">
        <f>IF(T!$A$4&gt;=MONTH(H$6&amp;$A$3),'[11]Podklady MZ'!H5,"")</f>
        <v/>
      </c>
      <c r="I9" s="646" t="str">
        <f>IF(T!$A$4&gt;=MONTH(I$6&amp;$A$3),'[11]Podklady MZ'!I5,"")</f>
        <v/>
      </c>
      <c r="J9" s="646" t="str">
        <f>IF(T!$A$4&gt;=MONTH(J$6&amp;$A$3),'[11]Podklady MZ'!J5,"")</f>
        <v/>
      </c>
      <c r="K9" s="646" t="str">
        <f>IF(T!$A$4&gt;=MONTH(K$6&amp;$A$3),'[11]Podklady MZ'!K5,"")</f>
        <v/>
      </c>
      <c r="L9" s="646" t="str">
        <f>IF(T!$A$4&gt;=MONTH(L$6&amp;$A$3),'[11]Podklady MZ'!L5,"")</f>
        <v/>
      </c>
      <c r="M9" s="647" t="str">
        <f>IF(T!$A$4&gt;=MONTH(M$6&amp;$A$3),'[11]Podklady MZ'!M5,"")</f>
        <v/>
      </c>
      <c r="N9" s="648">
        <f t="shared" si="0"/>
        <v>11815</v>
      </c>
      <c r="O9" s="53"/>
      <c r="P9" s="649">
        <f>'5'!D13</f>
        <v>197876</v>
      </c>
      <c r="Q9" s="650">
        <f t="shared" ref="Q9:Q10" si="1">N9/P9</f>
        <v>5.9709110756231178E-2</v>
      </c>
    </row>
    <row r="10" spans="1:18" ht="15" customHeight="1" x14ac:dyDescent="0.2">
      <c r="A10" s="121" t="s">
        <v>9</v>
      </c>
      <c r="B10" s="123">
        <f>IF(T!$A$4&gt;=MONTH(B$6&amp;$A$3),'[11]Podklady MZ'!B6,"")</f>
        <v>17564</v>
      </c>
      <c r="C10" s="115">
        <f>IF(T!$A$4&gt;=MONTH(C$6&amp;$A$3),'[11]Podklady MZ'!C6,"")</f>
        <v>10538</v>
      </c>
      <c r="D10" s="115" t="str">
        <f>IF(T!$A$4&gt;=MONTH(D$6&amp;$A$3),'[11]Podklady MZ'!D6,"")</f>
        <v/>
      </c>
      <c r="E10" s="115" t="str">
        <f>IF(T!$A$4&gt;=MONTH(E$6&amp;$A$3),'[11]Podklady MZ'!E6,"")</f>
        <v/>
      </c>
      <c r="F10" s="115" t="str">
        <f>IF(T!$A$4&gt;=MONTH(F$6&amp;$A$3),'[11]Podklady MZ'!F6,"")</f>
        <v/>
      </c>
      <c r="G10" s="115" t="str">
        <f>IF(T!$A$4&gt;=MONTH(G$6&amp;$A$3),'[11]Podklady MZ'!G6,"")</f>
        <v/>
      </c>
      <c r="H10" s="115" t="str">
        <f>IF(T!$A$4&gt;=MONTH(H$6&amp;$A$3),'[11]Podklady MZ'!H6,"")</f>
        <v/>
      </c>
      <c r="I10" s="115" t="str">
        <f>IF(T!$A$4&gt;=MONTH(I$6&amp;$A$3),'[11]Podklady MZ'!I6,"")</f>
        <v/>
      </c>
      <c r="J10" s="115" t="str">
        <f>IF(T!$A$4&gt;=MONTH(J$6&amp;$A$3),'[11]Podklady MZ'!J6,"")</f>
        <v/>
      </c>
      <c r="K10" s="115" t="str">
        <f>IF(T!$A$4&gt;=MONTH(K$6&amp;$A$3),'[11]Podklady MZ'!K6,"")</f>
        <v/>
      </c>
      <c r="L10" s="115" t="str">
        <f>IF(T!$A$4&gt;=MONTH(L$6&amp;$A$3),'[11]Podklady MZ'!L6,"")</f>
        <v/>
      </c>
      <c r="M10" s="116" t="str">
        <f>IF(T!$A$4&gt;=MONTH(M$6&amp;$A$3),'[11]Podklady MZ'!M6,"")</f>
        <v/>
      </c>
      <c r="N10" s="117">
        <f t="shared" si="0"/>
        <v>28102</v>
      </c>
      <c r="O10" s="53"/>
      <c r="P10" s="118">
        <f>'5'!D14</f>
        <v>2642487</v>
      </c>
      <c r="Q10" s="119">
        <f t="shared" si="1"/>
        <v>1.0634678619043348E-2</v>
      </c>
    </row>
    <row r="11" spans="1:18" ht="15" customHeight="1" x14ac:dyDescent="0.2">
      <c r="A11" s="494" t="s">
        <v>2</v>
      </c>
      <c r="B11" s="495">
        <f>IF(T!$A$4&gt;=MONTH(B$6&amp;$A$3),SUM(B7:B10),"")</f>
        <v>29874</v>
      </c>
      <c r="C11" s="496">
        <f>IF(T!$A$4&gt;=MONTH(C$6&amp;$A$3),SUM(C7:C10),"")</f>
        <v>11404</v>
      </c>
      <c r="D11" s="496" t="str">
        <f>IF(T!$A$4&gt;=MONTH(D$6&amp;$A$3),SUM(D7:D10),"")</f>
        <v/>
      </c>
      <c r="E11" s="496" t="str">
        <f>IF(T!$A$4&gt;=MONTH(E$6&amp;$A$3),SUM(E7:E10),"")</f>
        <v/>
      </c>
      <c r="F11" s="496" t="str">
        <f>IF(T!$A$4&gt;=MONTH(F$6&amp;$A$3),SUM(F7:F10),"")</f>
        <v/>
      </c>
      <c r="G11" s="496" t="str">
        <f>IF(T!$A$4&gt;=MONTH(G$6&amp;$A$3),SUM(G7:G10),"")</f>
        <v/>
      </c>
      <c r="H11" s="496" t="str">
        <f>IF(T!$A$4&gt;=MONTH(H$6&amp;$A$3),SUM(H7:H10),"")</f>
        <v/>
      </c>
      <c r="I11" s="496" t="str">
        <f>IF(T!$A$4&gt;=MONTH(I$6&amp;$A$3),SUM(I7:I10),"")</f>
        <v/>
      </c>
      <c r="J11" s="496" t="str">
        <f>IF(T!$A$4&gt;=MONTH(J$6&amp;$A$3),SUM(J7:J10),"")</f>
        <v/>
      </c>
      <c r="K11" s="496" t="str">
        <f>IF(T!$A$4&gt;=MONTH(K$6&amp;$A$3),SUM(K7:K10),"")</f>
        <v/>
      </c>
      <c r="L11" s="496" t="str">
        <f>IF(T!$A$4&gt;=MONTH(L$6&amp;$A$3),SUM(L7:L10),"")</f>
        <v/>
      </c>
      <c r="M11" s="497" t="str">
        <f>IF(T!$A$4&gt;=MONTH(M$6&amp;$A$3),SUM(M7:M10),"")</f>
        <v/>
      </c>
      <c r="N11" s="498">
        <f>SUM(B11:M11)</f>
        <v>41278</v>
      </c>
      <c r="P11" s="493">
        <f>'5'!D15</f>
        <v>2848798</v>
      </c>
      <c r="Q11" s="499">
        <f>N11/P11</f>
        <v>1.4489619832645207E-2</v>
      </c>
    </row>
    <row r="12" spans="1:18" ht="3" customHeight="1" x14ac:dyDescent="0.2">
      <c r="B12" s="124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888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5"/>
    <col min="21" max="21" width="11.7109375" style="75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002" t="s">
        <v>57</v>
      </c>
      <c r="O1" s="1002"/>
      <c r="T1" s="76">
        <f>A31</f>
        <v>2014</v>
      </c>
      <c r="U1" s="826">
        <f>A27</f>
        <v>2015</v>
      </c>
      <c r="V1" s="826">
        <f>A27</f>
        <v>2015</v>
      </c>
      <c r="W1" s="826" t="s">
        <v>411</v>
      </c>
    </row>
    <row r="2" spans="1:23" ht="15.75" x14ac:dyDescent="0.25">
      <c r="A2" s="1036" t="str">
        <f>"Porovnání denní spotřeby zemního plynu v ČR mezi roky "&amp;A31&amp;" a "&amp;A27</f>
        <v>Porovnání denní spotřeby zemního plynu v ČR mezi roky 2014 a 2015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74"/>
      <c r="Q2" s="74"/>
      <c r="S2" s="77">
        <f>DATE(A27,1,1)</f>
        <v>42005</v>
      </c>
      <c r="T2" s="78">
        <f>INDEX([12]ČR!$D$18:$D$383,DATE(2016,MONTH(S2),DAY(S2))-DATE(2016,1,1)+1,1)/1000000</f>
        <v>29.819936957415216</v>
      </c>
      <c r="U2" s="78">
        <f>IF(T!$A$4&gt;=MONTH(S2),VLOOKUP(S2,'[8]Podklady MZ'!$R$2:$S$367,2,FALSE),NA())</f>
        <v>34.064890044007484</v>
      </c>
      <c r="V2" s="178">
        <f>INDEX([5]PT!$AF$16:$AF$381,DATE(2016,MONTH(S2),DAY(S2))-DATE(2016,1,1)+1,1)</f>
        <v>0</v>
      </c>
      <c r="W2" s="178" t="e">
        <f>IF(T!$A$4&lt;MONTH(S2),VLOOKUP(S2,'[8]Podklady MZ'!$R$2:$S$367,2,FALSE),NA())</f>
        <v>#N/A</v>
      </c>
    </row>
    <row r="3" spans="1:23" ht="12" customHeight="1" x14ac:dyDescent="0.25">
      <c r="A3" s="81"/>
      <c r="B3" s="159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74"/>
      <c r="Q3" s="74"/>
      <c r="S3" s="77">
        <f>S2+1</f>
        <v>42006</v>
      </c>
      <c r="T3" s="78">
        <f>INDEX([12]ČR!$D$18:$D$383,DATE(2016,MONTH(S3),DAY(S3))-DATE(2016,1,1)+1,1)/1000000</f>
        <v>32.181140578438225</v>
      </c>
      <c r="U3" s="78">
        <f>IF(T!$A$4&gt;=MONTH(S3),VLOOKUP(S3,'[8]Podklady MZ'!$R$2:$S$367,2,FALSE),NA())</f>
        <v>34.422167061021369</v>
      </c>
      <c r="V3" s="178">
        <f>INDEX([5]PT!$AF$16:$AF$381,DATE(2016,MONTH(S3),DAY(S3))-DATE(2016,1,1)+1,1)</f>
        <v>1.6</v>
      </c>
      <c r="W3" s="178" t="e">
        <f>IF(T!$A$4&lt;MONTH(S3),VLOOKUP(S3,'[8]Podklady MZ'!$R$2:$S$367,2,FALSE),NA())</f>
        <v>#N/A</v>
      </c>
    </row>
    <row r="4" spans="1:23" ht="15.75" x14ac:dyDescent="0.25">
      <c r="A4" s="81"/>
      <c r="B4" s="159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74"/>
      <c r="Q4" s="74"/>
      <c r="S4" s="77">
        <f t="shared" ref="S4:S67" si="0">S3+1</f>
        <v>42007</v>
      </c>
      <c r="T4" s="78">
        <f>INDEX([12]ČR!$D$18:$D$383,DATE(2016,MONTH(S4),DAY(S4))-DATE(2016,1,1)+1,1)/1000000</f>
        <v>30.611301271536977</v>
      </c>
      <c r="U4" s="78">
        <f>IF(T!$A$4&gt;=MONTH(S4),VLOOKUP(S4,'[8]Podklady MZ'!$R$2:$S$367,2,FALSE),NA())</f>
        <v>32.964357257632088</v>
      </c>
      <c r="V4" s="178">
        <f>INDEX([5]PT!$AF$16:$AF$381,DATE(2016,MONTH(S4),DAY(S4))-DATE(2016,1,1)+1,1)</f>
        <v>0.9</v>
      </c>
      <c r="W4" s="178" t="e">
        <f>IF(T!$A$4&lt;MONTH(S4),VLOOKUP(S4,'[8]Podklady MZ'!$R$2:$S$367,2,FALSE),NA())</f>
        <v>#N/A</v>
      </c>
    </row>
    <row r="5" spans="1:23" ht="15.75" x14ac:dyDescent="0.25">
      <c r="A5" s="81"/>
      <c r="B5" s="159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74"/>
      <c r="Q5" s="74"/>
      <c r="S5" s="77">
        <f t="shared" si="0"/>
        <v>42008</v>
      </c>
      <c r="T5" s="78">
        <f>INDEX([12]ČR!$D$18:$D$383,DATE(2016,MONTH(S5),DAY(S5))-DATE(2016,1,1)+1,1)/1000000</f>
        <v>28.224276360862738</v>
      </c>
      <c r="U5" s="78">
        <f>IF(T!$A$4&gt;=MONTH(S5),VLOOKUP(S5,'[8]Podklady MZ'!$R$2:$S$367,2,FALSE),NA())</f>
        <v>34.923265193104555</v>
      </c>
      <c r="V5" s="178">
        <f>INDEX([5]PT!$AF$16:$AF$381,DATE(2016,MONTH(S5),DAY(S5))-DATE(2016,1,1)+1,1)</f>
        <v>0.7</v>
      </c>
      <c r="W5" s="178" t="e">
        <f>IF(T!$A$4&lt;MONTH(S5),VLOOKUP(S5,'[8]Podklady MZ'!$R$2:$S$367,2,FALSE),NA())</f>
        <v>#N/A</v>
      </c>
    </row>
    <row r="6" spans="1:23" ht="15.75" x14ac:dyDescent="0.25">
      <c r="A6" s="81"/>
      <c r="B6" s="159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4"/>
      <c r="Q6" s="74"/>
      <c r="S6" s="77">
        <f t="shared" si="0"/>
        <v>42009</v>
      </c>
      <c r="T6" s="78">
        <f>INDEX([12]ČR!$D$18:$D$383,DATE(2016,MONTH(S6),DAY(S6))-DATE(2016,1,1)+1,1)/1000000</f>
        <v>28.323624258618793</v>
      </c>
      <c r="U6" s="78">
        <f>IF(T!$A$4&gt;=MONTH(S6),VLOOKUP(S6,'[8]Podklady MZ'!$R$2:$S$367,2,FALSE),NA())</f>
        <v>38.71826912537675</v>
      </c>
      <c r="V6" s="178">
        <f>INDEX([5]PT!$AF$16:$AF$381,DATE(2016,MONTH(S6),DAY(S6))-DATE(2016,1,1)+1,1)</f>
        <v>-0.1</v>
      </c>
      <c r="W6" s="178" t="e">
        <f>IF(T!$A$4&lt;MONTH(S6),VLOOKUP(S6,'[8]Podklady MZ'!$R$2:$S$367,2,FALSE),NA())</f>
        <v>#N/A</v>
      </c>
    </row>
    <row r="7" spans="1:23" ht="15.75" x14ac:dyDescent="0.25">
      <c r="A7" s="81"/>
      <c r="B7" s="159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74"/>
      <c r="Q7" s="74"/>
      <c r="S7" s="77">
        <f t="shared" si="0"/>
        <v>42010</v>
      </c>
      <c r="T7" s="78">
        <f>INDEX([12]ČR!$D$18:$D$383,DATE(2016,MONTH(S7),DAY(S7))-DATE(2016,1,1)+1,1)/1000000</f>
        <v>31.17152473981665</v>
      </c>
      <c r="U7" s="78">
        <f>IF(T!$A$4&gt;=MONTH(S7),VLOOKUP(S7,'[8]Podklady MZ'!$R$2:$S$367,2,FALSE),NA())</f>
        <v>39.255939835613098</v>
      </c>
      <c r="V7" s="178">
        <f>INDEX([5]PT!$AF$16:$AF$381,DATE(2016,MONTH(S7),DAY(S7))-DATE(2016,1,1)+1,1)</f>
        <v>-3.6</v>
      </c>
      <c r="W7" s="178" t="e">
        <f>IF(T!$A$4&lt;MONTH(S7),VLOOKUP(S7,'[8]Podklady MZ'!$R$2:$S$367,2,FALSE),NA())</f>
        <v>#N/A</v>
      </c>
    </row>
    <row r="8" spans="1:23" ht="15.75" x14ac:dyDescent="0.25">
      <c r="A8" s="81"/>
      <c r="B8" s="159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4"/>
      <c r="Q8" s="74"/>
      <c r="S8" s="77">
        <f t="shared" si="0"/>
        <v>42011</v>
      </c>
      <c r="T8" s="78">
        <f>INDEX([12]ČR!$D$18:$D$383,DATE(2016,MONTH(S8),DAY(S8))-DATE(2016,1,1)+1,1)/1000000</f>
        <v>30.816836681936199</v>
      </c>
      <c r="U8" s="78">
        <f>IF(T!$A$4&gt;=MONTH(S8),VLOOKUP(S8,'[8]Podklady MZ'!$R$2:$S$367,2,FALSE),NA())</f>
        <v>41.345389040398715</v>
      </c>
      <c r="V8" s="178">
        <f>INDEX([5]PT!$AF$16:$AF$381,DATE(2016,MONTH(S8),DAY(S8))-DATE(2016,1,1)+1,1)</f>
        <v>-3.6</v>
      </c>
      <c r="W8" s="178" t="e">
        <f>IF(T!$A$4&lt;MONTH(S8),VLOOKUP(S8,'[8]Podklady MZ'!$R$2:$S$367,2,FALSE),NA())</f>
        <v>#N/A</v>
      </c>
    </row>
    <row r="9" spans="1:23" ht="15.75" x14ac:dyDescent="0.25">
      <c r="A9" s="81"/>
      <c r="B9" s="159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74"/>
      <c r="Q9" s="74"/>
      <c r="S9" s="77">
        <f t="shared" si="0"/>
        <v>42012</v>
      </c>
      <c r="T9" s="78">
        <f>INDEX([12]ČR!$D$18:$D$383,DATE(2016,MONTH(S9),DAY(S9))-DATE(2016,1,1)+1,1)/1000000</f>
        <v>30.577419431284611</v>
      </c>
      <c r="U9" s="78">
        <f>IF(T!$A$4&gt;=MONTH(S9),VLOOKUP(S9,'[8]Podklady MZ'!$R$2:$S$367,2,FALSE),NA())</f>
        <v>39.126477683777225</v>
      </c>
      <c r="V9" s="178">
        <f>INDEX([5]PT!$AF$16:$AF$381,DATE(2016,MONTH(S9),DAY(S9))-DATE(2016,1,1)+1,1)</f>
        <v>-0.6</v>
      </c>
      <c r="W9" s="178" t="e">
        <f>IF(T!$A$4&lt;MONTH(S9),VLOOKUP(S9,'[8]Podklady MZ'!$R$2:$S$367,2,FALSE),NA())</f>
        <v>#N/A</v>
      </c>
    </row>
    <row r="10" spans="1:23" ht="15.75" x14ac:dyDescent="0.25">
      <c r="A10" s="81"/>
      <c r="B10" s="159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74"/>
      <c r="Q10" s="74"/>
      <c r="S10" s="77">
        <f t="shared" si="0"/>
        <v>42013</v>
      </c>
      <c r="T10" s="78">
        <f>INDEX([12]ČR!$D$18:$D$383,DATE(2016,MONTH(S10),DAY(S10))-DATE(2016,1,1)+1,1)/1000000</f>
        <v>30.77791814439302</v>
      </c>
      <c r="U10" s="78">
        <f>IF(T!$A$4&gt;=MONTH(S10),VLOOKUP(S10,'[8]Podklady MZ'!$R$2:$S$367,2,FALSE),NA())</f>
        <v>33.924466260058615</v>
      </c>
      <c r="V10" s="178">
        <f>INDEX([5]PT!$AF$16:$AF$381,DATE(2016,MONTH(S10),DAY(S10))-DATE(2016,1,1)+1,1)</f>
        <v>5.6</v>
      </c>
      <c r="W10" s="178" t="e">
        <f>IF(T!$A$4&lt;MONTH(S10),VLOOKUP(S10,'[8]Podklady MZ'!$R$2:$S$367,2,FALSE),NA())</f>
        <v>#N/A</v>
      </c>
    </row>
    <row r="11" spans="1:23" ht="15.75" x14ac:dyDescent="0.25">
      <c r="A11" s="81"/>
      <c r="B11" s="159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74"/>
      <c r="Q11" s="74"/>
      <c r="S11" s="77">
        <f t="shared" si="0"/>
        <v>42014</v>
      </c>
      <c r="T11" s="78">
        <f>INDEX([12]ČR!$D$18:$D$383,DATE(2016,MONTH(S11),DAY(S11))-DATE(2016,1,1)+1,1)/1000000</f>
        <v>30.132613917439219</v>
      </c>
      <c r="U11" s="78">
        <f>IF(T!$A$4&gt;=MONTH(S11),VLOOKUP(S11,'[8]Podklady MZ'!$R$2:$S$367,2,FALSE),NA())</f>
        <v>26.684387110760138</v>
      </c>
      <c r="V11" s="178">
        <f>INDEX([5]PT!$AF$16:$AF$381,DATE(2016,MONTH(S11),DAY(S11))-DATE(2016,1,1)+1,1)</f>
        <v>11</v>
      </c>
      <c r="W11" s="178" t="e">
        <f>IF(T!$A$4&lt;MONTH(S11),VLOOKUP(S11,'[8]Podklady MZ'!$R$2:$S$367,2,FALSE),NA())</f>
        <v>#N/A</v>
      </c>
    </row>
    <row r="12" spans="1:23" ht="15.75" x14ac:dyDescent="0.25">
      <c r="A12" s="81"/>
      <c r="B12" s="159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4"/>
      <c r="Q12" s="74"/>
      <c r="S12" s="77">
        <f t="shared" si="0"/>
        <v>42015</v>
      </c>
      <c r="T12" s="78">
        <f>INDEX([12]ČR!$D$18:$D$383,DATE(2016,MONTH(S12),DAY(S12))-DATE(2016,1,1)+1,1)/1000000</f>
        <v>28.231570981800594</v>
      </c>
      <c r="U12" s="78">
        <f>IF(T!$A$4&gt;=MONTH(S12),VLOOKUP(S12,'[8]Podklady MZ'!$R$2:$S$367,2,FALSE),NA())</f>
        <v>31.703477973309223</v>
      </c>
      <c r="V12" s="178">
        <f>INDEX([5]PT!$AF$16:$AF$381,DATE(2016,MONTH(S12),DAY(S12))-DATE(2016,1,1)+1,1)</f>
        <v>2.2999999999999998</v>
      </c>
      <c r="W12" s="178" t="e">
        <f>IF(T!$A$4&lt;MONTH(S12),VLOOKUP(S12,'[8]Podklady MZ'!$R$2:$S$367,2,FALSE),NA())</f>
        <v>#N/A</v>
      </c>
    </row>
    <row r="13" spans="1:23" ht="15.75" x14ac:dyDescent="0.25">
      <c r="A13" s="81"/>
      <c r="B13" s="159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74"/>
      <c r="Q13" s="74"/>
      <c r="S13" s="77">
        <f t="shared" si="0"/>
        <v>42016</v>
      </c>
      <c r="T13" s="78">
        <f>INDEX([12]ČR!$D$18:$D$383,DATE(2016,MONTH(S13),DAY(S13))-DATE(2016,1,1)+1,1)/1000000</f>
        <v>31.152940276994567</v>
      </c>
      <c r="U13" s="78">
        <f>IF(T!$A$4&gt;=MONTH(S13),VLOOKUP(S13,'[8]Podklady MZ'!$R$2:$S$367,2,FALSE),NA())</f>
        <v>34.493693489259286</v>
      </c>
      <c r="V13" s="178">
        <f>INDEX([5]PT!$AF$16:$AF$381,DATE(2016,MONTH(S13),DAY(S13))-DATE(2016,1,1)+1,1)</f>
        <v>3.6</v>
      </c>
      <c r="W13" s="178" t="e">
        <f>IF(T!$A$4&lt;MONTH(S13),VLOOKUP(S13,'[8]Podklady MZ'!$R$2:$S$367,2,FALSE),NA())</f>
        <v>#N/A</v>
      </c>
    </row>
    <row r="14" spans="1:23" ht="15.75" x14ac:dyDescent="0.25">
      <c r="A14" s="81"/>
      <c r="B14" s="159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4"/>
      <c r="Q14" s="74"/>
      <c r="S14" s="77">
        <f t="shared" si="0"/>
        <v>42017</v>
      </c>
      <c r="T14" s="78">
        <f>INDEX([12]ČR!$D$18:$D$383,DATE(2016,MONTH(S14),DAY(S14))-DATE(2016,1,1)+1,1)/1000000</f>
        <v>35.425663245407186</v>
      </c>
      <c r="U14" s="78">
        <f>IF(T!$A$4&gt;=MONTH(S14),VLOOKUP(S14,'[8]Podklady MZ'!$R$2:$S$367,2,FALSE),NA())</f>
        <v>31.606491980922041</v>
      </c>
      <c r="V14" s="178">
        <f>INDEX([5]PT!$AF$16:$AF$381,DATE(2016,MONTH(S14),DAY(S14))-DATE(2016,1,1)+1,1)</f>
        <v>4.4000000000000004</v>
      </c>
      <c r="W14" s="178" t="e">
        <f>IF(T!$A$4&lt;MONTH(S14),VLOOKUP(S14,'[8]Podklady MZ'!$R$2:$S$367,2,FALSE),NA())</f>
        <v>#N/A</v>
      </c>
    </row>
    <row r="15" spans="1:23" ht="15.75" x14ac:dyDescent="0.25">
      <c r="A15" s="81"/>
      <c r="B15" s="159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74"/>
      <c r="Q15" s="74"/>
      <c r="S15" s="77">
        <f t="shared" si="0"/>
        <v>42018</v>
      </c>
      <c r="T15" s="78">
        <f>INDEX([12]ČR!$D$18:$D$383,DATE(2016,MONTH(S15),DAY(S15))-DATE(2016,1,1)+1,1)/1000000</f>
        <v>34.838520341589764</v>
      </c>
      <c r="U15" s="78">
        <f>IF(T!$A$4&gt;=MONTH(S15),VLOOKUP(S15,'[8]Podklady MZ'!$R$2:$S$367,2,FALSE),NA())</f>
        <v>32.53763604938851</v>
      </c>
      <c r="V15" s="178">
        <f>INDEX([5]PT!$AF$16:$AF$381,DATE(2016,MONTH(S15),DAY(S15))-DATE(2016,1,1)+1,1)</f>
        <v>3.9</v>
      </c>
      <c r="W15" s="178" t="e">
        <f>IF(T!$A$4&lt;MONTH(S15),VLOOKUP(S15,'[8]Podklady MZ'!$R$2:$S$367,2,FALSE),NA())</f>
        <v>#N/A</v>
      </c>
    </row>
    <row r="16" spans="1:23" ht="15.75" x14ac:dyDescent="0.25">
      <c r="A16" s="81"/>
      <c r="B16" s="159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74"/>
      <c r="Q16" s="74"/>
      <c r="S16" s="77">
        <f t="shared" si="0"/>
        <v>42019</v>
      </c>
      <c r="T16" s="78">
        <f>INDEX([12]ČR!$D$18:$D$383,DATE(2016,MONTH(S16),DAY(S16))-DATE(2016,1,1)+1,1)/1000000</f>
        <v>34.682102113843577</v>
      </c>
      <c r="U16" s="78">
        <f>IF(T!$A$4&gt;=MONTH(S16),VLOOKUP(S16,'[8]Podklady MZ'!$R$2:$S$367,2,FALSE),NA())</f>
        <v>33.557131227489101</v>
      </c>
      <c r="V16" s="178">
        <f>INDEX([5]PT!$AF$16:$AF$381,DATE(2016,MONTH(S16),DAY(S16))-DATE(2016,1,1)+1,1)</f>
        <v>2</v>
      </c>
      <c r="W16" s="178" t="e">
        <f>IF(T!$A$4&lt;MONTH(S16),VLOOKUP(S16,'[8]Podklady MZ'!$R$2:$S$367,2,FALSE),NA())</f>
        <v>#N/A</v>
      </c>
    </row>
    <row r="17" spans="1:23" ht="15.75" x14ac:dyDescent="0.25">
      <c r="A17" s="81"/>
      <c r="B17" s="159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74"/>
      <c r="Q17" s="74"/>
      <c r="S17" s="77">
        <f t="shared" si="0"/>
        <v>42020</v>
      </c>
      <c r="T17" s="78">
        <f>INDEX([12]ČR!$D$18:$D$383,DATE(2016,MONTH(S17),DAY(S17))-DATE(2016,1,1)+1,1)/1000000</f>
        <v>34.384923936924856</v>
      </c>
      <c r="U17" s="78">
        <f>IF(T!$A$4&gt;=MONTH(S17),VLOOKUP(S17,'[8]Podklady MZ'!$R$2:$S$367,2,FALSE),NA())</f>
        <v>31.887471148067611</v>
      </c>
      <c r="V17" s="178">
        <f>INDEX([5]PT!$AF$16:$AF$381,DATE(2016,MONTH(S17),DAY(S17))-DATE(2016,1,1)+1,1)</f>
        <v>2.7</v>
      </c>
      <c r="W17" s="178" t="e">
        <f>IF(T!$A$4&lt;MONTH(S17),VLOOKUP(S17,'[8]Podklady MZ'!$R$2:$S$367,2,FALSE),NA())</f>
        <v>#N/A</v>
      </c>
    </row>
    <row r="18" spans="1:23" ht="15.75" x14ac:dyDescent="0.25">
      <c r="A18" s="81"/>
      <c r="B18" s="159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4"/>
      <c r="Q18" s="74"/>
      <c r="S18" s="77">
        <f t="shared" si="0"/>
        <v>42021</v>
      </c>
      <c r="T18" s="78">
        <f>INDEX([12]ČR!$D$18:$D$383,DATE(2016,MONTH(S18),DAY(S18))-DATE(2016,1,1)+1,1)/1000000</f>
        <v>32.004779962782678</v>
      </c>
      <c r="U18" s="78">
        <f>IF(T!$A$4&gt;=MONTH(S18),VLOOKUP(S18,'[8]Podklady MZ'!$R$2:$S$367,2,FALSE),NA())</f>
        <v>29.413626425814616</v>
      </c>
      <c r="V18" s="178">
        <f>INDEX([5]PT!$AF$16:$AF$381,DATE(2016,MONTH(S18),DAY(S18))-DATE(2016,1,1)+1,1)</f>
        <v>2.2000000000000002</v>
      </c>
      <c r="W18" s="178" t="e">
        <f>IF(T!$A$4&lt;MONTH(S18),VLOOKUP(S18,'[8]Podklady MZ'!$R$2:$S$367,2,FALSE),NA())</f>
        <v>#N/A</v>
      </c>
    </row>
    <row r="19" spans="1:23" ht="15.75" x14ac:dyDescent="0.25">
      <c r="A19" s="81"/>
      <c r="B19" s="15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74"/>
      <c r="Q19" s="74"/>
      <c r="S19" s="77">
        <f t="shared" si="0"/>
        <v>42022</v>
      </c>
      <c r="T19" s="78">
        <f>INDEX([12]ČR!$D$18:$D$383,DATE(2016,MONTH(S19),DAY(S19))-DATE(2016,1,1)+1,1)/1000000</f>
        <v>28.838252436416099</v>
      </c>
      <c r="U19" s="78">
        <f>IF(T!$A$4&gt;=MONTH(S19),VLOOKUP(S19,'[8]Podklady MZ'!$R$2:$S$367,2,FALSE),NA())</f>
        <v>30.849765259316179</v>
      </c>
      <c r="V19" s="178">
        <f>INDEX([5]PT!$AF$16:$AF$381,DATE(2016,MONTH(S19),DAY(S19))-DATE(2016,1,1)+1,1)</f>
        <v>1.2</v>
      </c>
      <c r="W19" s="178" t="e">
        <f>IF(T!$A$4&lt;MONTH(S19),VLOOKUP(S19,'[8]Podklady MZ'!$R$2:$S$367,2,FALSE),NA())</f>
        <v>#N/A</v>
      </c>
    </row>
    <row r="20" spans="1:23" ht="15.75" x14ac:dyDescent="0.25">
      <c r="A20" s="81"/>
      <c r="B20" s="159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4"/>
      <c r="Q20" s="74"/>
      <c r="S20" s="77">
        <f t="shared" si="0"/>
        <v>42023</v>
      </c>
      <c r="T20" s="78">
        <f>INDEX([12]ČR!$D$18:$D$383,DATE(2016,MONTH(S20),DAY(S20))-DATE(2016,1,1)+1,1)/1000000</f>
        <v>26.914539897812865</v>
      </c>
      <c r="U20" s="78">
        <f>IF(T!$A$4&gt;=MONTH(S20),VLOOKUP(S20,'[8]Podklady MZ'!$R$2:$S$367,2,FALSE),NA())</f>
        <v>36.90100471395121</v>
      </c>
      <c r="V20" s="178">
        <f>INDEX([5]PT!$AF$16:$AF$381,DATE(2016,MONTH(S20),DAY(S20))-DATE(2016,1,1)+1,1)</f>
        <v>0.7</v>
      </c>
      <c r="W20" s="178" t="e">
        <f>IF(T!$A$4&lt;MONTH(S20),VLOOKUP(S20,'[8]Podklady MZ'!$R$2:$S$367,2,FALSE),NA())</f>
        <v>#N/A</v>
      </c>
    </row>
    <row r="21" spans="1:23" ht="15.75" x14ac:dyDescent="0.25">
      <c r="A21" s="81"/>
      <c r="B21" s="159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74"/>
      <c r="Q21" s="74"/>
      <c r="S21" s="77">
        <f t="shared" si="0"/>
        <v>42024</v>
      </c>
      <c r="T21" s="78">
        <f>INDEX([12]ČR!$D$18:$D$383,DATE(2016,MONTH(S21),DAY(S21))-DATE(2016,1,1)+1,1)/1000000</f>
        <v>30.805382238471903</v>
      </c>
      <c r="U21" s="78">
        <f>IF(T!$A$4&gt;=MONTH(S21),VLOOKUP(S21,'[8]Podklady MZ'!$R$2:$S$367,2,FALSE),NA())</f>
        <v>37.099908640861287</v>
      </c>
      <c r="V21" s="178">
        <f>INDEX([5]PT!$AF$16:$AF$381,DATE(2016,MONTH(S21),DAY(S21))-DATE(2016,1,1)+1,1)</f>
        <v>0.7</v>
      </c>
      <c r="W21" s="178" t="e">
        <f>IF(T!$A$4&lt;MONTH(S21),VLOOKUP(S21,'[8]Podklady MZ'!$R$2:$S$367,2,FALSE),NA())</f>
        <v>#N/A</v>
      </c>
    </row>
    <row r="22" spans="1:23" ht="15.75" x14ac:dyDescent="0.25">
      <c r="A22" s="81"/>
      <c r="B22" s="159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74"/>
      <c r="Q22" s="74"/>
      <c r="S22" s="77">
        <f t="shared" si="0"/>
        <v>42025</v>
      </c>
      <c r="T22" s="78">
        <f>INDEX([12]ČR!$D$18:$D$383,DATE(2016,MONTH(S22),DAY(S22))-DATE(2016,1,1)+1,1)/1000000</f>
        <v>34.268652363794793</v>
      </c>
      <c r="U22" s="78">
        <f>IF(T!$A$4&gt;=MONTH(S22),VLOOKUP(S22,'[8]Podklady MZ'!$R$2:$S$367,2,FALSE),NA())</f>
        <v>37.194872700903773</v>
      </c>
      <c r="V22" s="178">
        <f>INDEX([5]PT!$AF$16:$AF$381,DATE(2016,MONTH(S22),DAY(S22))-DATE(2016,1,1)+1,1)</f>
        <v>1.2</v>
      </c>
      <c r="W22" s="178" t="e">
        <f>IF(T!$A$4&lt;MONTH(S22),VLOOKUP(S22,'[8]Podklady MZ'!$R$2:$S$367,2,FALSE),NA())</f>
        <v>#N/A</v>
      </c>
    </row>
    <row r="23" spans="1:23" ht="15.75" x14ac:dyDescent="0.25">
      <c r="A23" s="81"/>
      <c r="B23" s="159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74"/>
      <c r="Q23" s="74"/>
      <c r="S23" s="77">
        <f t="shared" si="0"/>
        <v>42026</v>
      </c>
      <c r="T23" s="78">
        <f>INDEX([12]ČR!$D$18:$D$383,DATE(2016,MONTH(S23),DAY(S23))-DATE(2016,1,1)+1,1)/1000000</f>
        <v>36.969258318739719</v>
      </c>
      <c r="U23" s="78">
        <f>IF(T!$A$4&gt;=MONTH(S23),VLOOKUP(S23,'[8]Podklady MZ'!$R$2:$S$367,2,FALSE),NA())</f>
        <v>35.784854231467648</v>
      </c>
      <c r="V23" s="178">
        <f>INDEX([5]PT!$AF$16:$AF$381,DATE(2016,MONTH(S23),DAY(S23))-DATE(2016,1,1)+1,1)</f>
        <v>3.5</v>
      </c>
      <c r="W23" s="178" t="e">
        <f>IF(T!$A$4&lt;MONTH(S23),VLOOKUP(S23,'[8]Podklady MZ'!$R$2:$S$367,2,FALSE),NA())</f>
        <v>#N/A</v>
      </c>
    </row>
    <row r="24" spans="1:23" ht="15.75" x14ac:dyDescent="0.25">
      <c r="A24" s="1048" t="s">
        <v>197</v>
      </c>
      <c r="B24" s="1048"/>
      <c r="C24" s="1048"/>
      <c r="D24" s="1048"/>
      <c r="E24" s="1048"/>
      <c r="F24" s="1048"/>
      <c r="G24" s="1048"/>
      <c r="H24" s="1048"/>
      <c r="I24" s="1048"/>
      <c r="J24" s="1048"/>
      <c r="K24" s="1048"/>
      <c r="L24" s="1048"/>
      <c r="M24" s="1048"/>
      <c r="N24" s="1048"/>
      <c r="O24" s="1048"/>
      <c r="P24" s="74"/>
      <c r="Q24" s="74"/>
      <c r="S24" s="77">
        <f t="shared" si="0"/>
        <v>42027</v>
      </c>
      <c r="T24" s="78">
        <f>INDEX([12]ČR!$D$18:$D$383,DATE(2016,MONTH(S24),DAY(S24))-DATE(2016,1,1)+1,1)/1000000</f>
        <v>39.515937993420224</v>
      </c>
      <c r="U24" s="78">
        <f>IF(T!$A$4&gt;=MONTH(S24),VLOOKUP(S24,'[8]Podklady MZ'!$R$2:$S$367,2,FALSE),NA())</f>
        <v>36.443515386851018</v>
      </c>
      <c r="V24" s="178">
        <f>INDEX([5]PT!$AF$16:$AF$381,DATE(2016,MONTH(S24),DAY(S24))-DATE(2016,1,1)+1,1)</f>
        <v>1.5</v>
      </c>
      <c r="W24" s="178" t="e">
        <f>IF(T!$A$4&lt;MONTH(S24),VLOOKUP(S24,'[8]Podklady MZ'!$R$2:$S$367,2,FALSE),NA())</f>
        <v>#N/A</v>
      </c>
    </row>
    <row r="25" spans="1:23" ht="9.9499999999999993" customHeight="1" x14ac:dyDescent="0.25">
      <c r="C25" s="134"/>
      <c r="D25" s="84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4"/>
      <c r="P25" s="74"/>
      <c r="Q25" s="74"/>
      <c r="S25" s="77">
        <f t="shared" si="0"/>
        <v>42028</v>
      </c>
      <c r="T25" s="78">
        <f>INDEX([12]ČR!$D$18:$D$383,DATE(2016,MONTH(S25),DAY(S25))-DATE(2016,1,1)+1,1)/1000000</f>
        <v>39.912823833141239</v>
      </c>
      <c r="U25" s="78">
        <f>IF(T!$A$4&gt;=MONTH(S25),VLOOKUP(S25,'[8]Podklady MZ'!$R$2:$S$367,2,FALSE),NA())</f>
        <v>33.255457453561711</v>
      </c>
      <c r="V25" s="178">
        <f>INDEX([5]PT!$AF$16:$AF$381,DATE(2016,MONTH(S25),DAY(S25))-DATE(2016,1,1)+1,1)</f>
        <v>-1.1000000000000001</v>
      </c>
      <c r="W25" s="178" t="e">
        <f>IF(T!$A$4&lt;MONTH(S25),VLOOKUP(S25,'[8]Podklady MZ'!$R$2:$S$367,2,FALSE),NA())</f>
        <v>#N/A</v>
      </c>
    </row>
    <row r="26" spans="1:23" ht="15" customHeight="1" thickBot="1" x14ac:dyDescent="0.3">
      <c r="A26" s="91"/>
      <c r="B26" s="91"/>
      <c r="C26" s="135"/>
      <c r="D26" s="133" t="s">
        <v>13</v>
      </c>
      <c r="E26" s="125" t="s">
        <v>58</v>
      </c>
      <c r="F26" s="125" t="s">
        <v>59</v>
      </c>
      <c r="G26" s="125" t="s">
        <v>60</v>
      </c>
      <c r="H26" s="125" t="s">
        <v>61</v>
      </c>
      <c r="I26" s="125" t="s">
        <v>62</v>
      </c>
      <c r="J26" s="125" t="s">
        <v>63</v>
      </c>
      <c r="K26" s="125" t="s">
        <v>64</v>
      </c>
      <c r="L26" s="125" t="s">
        <v>65</v>
      </c>
      <c r="M26" s="125" t="s">
        <v>66</v>
      </c>
      <c r="N26" s="125" t="s">
        <v>67</v>
      </c>
      <c r="O26" s="127" t="s">
        <v>68</v>
      </c>
      <c r="P26" s="74"/>
      <c r="Q26" s="74"/>
      <c r="S26" s="77">
        <f t="shared" si="0"/>
        <v>42029</v>
      </c>
      <c r="T26" s="78">
        <f>INDEX([12]ČR!$D$18:$D$383,DATE(2016,MONTH(S26),DAY(S26))-DATE(2016,1,1)+1,1)/1000000</f>
        <v>41.907181763192099</v>
      </c>
      <c r="U26" s="78">
        <f>IF(T!$A$4&gt;=MONTH(S26),VLOOKUP(S26,'[8]Podklady MZ'!$R$2:$S$367,2,FALSE),NA())</f>
        <v>34.315673270230164</v>
      </c>
      <c r="V26" s="178">
        <f>INDEX([5]PT!$AF$16:$AF$381,DATE(2016,MONTH(S26),DAY(S26))-DATE(2016,1,1)+1,1)</f>
        <v>-0.2</v>
      </c>
      <c r="W26" s="178" t="e">
        <f>IF(T!$A$4&lt;MONTH(S26),VLOOKUP(S26,'[8]Podklady MZ'!$R$2:$S$367,2,FALSE),NA())</f>
        <v>#N/A</v>
      </c>
    </row>
    <row r="27" spans="1:23" ht="15" customHeight="1" x14ac:dyDescent="0.25">
      <c r="A27" s="1051">
        <f>T!$I$21</f>
        <v>2015</v>
      </c>
      <c r="B27" s="1049" t="s">
        <v>198</v>
      </c>
      <c r="C27" s="163" t="s">
        <v>47</v>
      </c>
      <c r="D27" s="186">
        <f>'[8]Podklady MZ'!D4</f>
        <v>34.88002079711061</v>
      </c>
      <c r="E27" s="187">
        <f>'[8]Podklady MZ'!E4</f>
        <v>35.352388987403877</v>
      </c>
      <c r="F27" s="187">
        <f>'[8]Podklady MZ'!F4</f>
        <v>27.784481849259485</v>
      </c>
      <c r="G27" s="187">
        <f>'[8]Podklady MZ'!G4</f>
        <v>21</v>
      </c>
      <c r="H27" s="187">
        <f>'[8]Podklady MZ'!H4</f>
        <v>12.903225806451603</v>
      </c>
      <c r="I27" s="187">
        <f>'[8]Podklady MZ'!I4</f>
        <v>10.333333333333334</v>
      </c>
      <c r="J27" s="187">
        <f>'[8]Podklady MZ'!J4</f>
        <v>9.3548387096774182</v>
      </c>
      <c r="K27" s="187">
        <f>'[8]Podklady MZ'!K4</f>
        <v>9.3548387096774182</v>
      </c>
      <c r="L27" s="187">
        <f>'[8]Podklady MZ'!L4</f>
        <v>12.66666666666667</v>
      </c>
      <c r="M27" s="187">
        <f>'[8]Podklady MZ'!M4</f>
        <v>20.96774193548389</v>
      </c>
      <c r="N27" s="187">
        <f>'[8]Podklady MZ'!N4</f>
        <v>30.666666666666654</v>
      </c>
      <c r="O27" s="188">
        <f>'[8]Podklady MZ'!O4</f>
        <v>34.838709677419359</v>
      </c>
      <c r="P27" s="74"/>
      <c r="Q27" s="74"/>
      <c r="S27" s="77">
        <f t="shared" si="0"/>
        <v>42030</v>
      </c>
      <c r="T27" s="78">
        <f>INDEX([12]ČR!$D$18:$D$383,DATE(2016,MONTH(S27),DAY(S27))-DATE(2016,1,1)+1,1)/1000000</f>
        <v>43.863809054503498</v>
      </c>
      <c r="U27" s="78">
        <f>IF(T!$A$4&gt;=MONTH(S27),VLOOKUP(S27,'[8]Podklady MZ'!$R$2:$S$367,2,FALSE),NA())</f>
        <v>37.706031532256496</v>
      </c>
      <c r="V27" s="178">
        <f>INDEX([5]PT!$AF$16:$AF$381,DATE(2016,MONTH(S27),DAY(S27))-DATE(2016,1,1)+1,1)</f>
        <v>-1</v>
      </c>
      <c r="W27" s="178" t="e">
        <f>IF(T!$A$4&lt;MONTH(S27),VLOOKUP(S27,'[8]Podklady MZ'!$R$2:$S$367,2,FALSE),NA())</f>
        <v>#N/A</v>
      </c>
    </row>
    <row r="28" spans="1:23" ht="15" customHeight="1" x14ac:dyDescent="0.2">
      <c r="A28" s="1052"/>
      <c r="B28" s="1050"/>
      <c r="C28" s="164" t="s">
        <v>16</v>
      </c>
      <c r="D28" s="189">
        <f>'[8]Podklady MZ'!D5</f>
        <v>370.73412690967734</v>
      </c>
      <c r="E28" s="190">
        <f>'[8]Podklady MZ'!E5</f>
        <v>375.90719064285713</v>
      </c>
      <c r="F28" s="190">
        <f>'[8]Podklady MZ'!F5</f>
        <v>294.51550760215054</v>
      </c>
      <c r="G28" s="190">
        <f>'[8]Podklady MZ'!G5</f>
        <v>223</v>
      </c>
      <c r="H28" s="190">
        <f>'[8]Podklady MZ'!H5</f>
        <v>137.09677419354833</v>
      </c>
      <c r="I28" s="190">
        <f>'[8]Podklady MZ'!I5</f>
        <v>109.66666666666661</v>
      </c>
      <c r="J28" s="190">
        <f>'[8]Podklady MZ'!J5</f>
        <v>99.354838709677452</v>
      </c>
      <c r="K28" s="190">
        <f>'[8]Podklady MZ'!K5</f>
        <v>99.354838709677452</v>
      </c>
      <c r="L28" s="190">
        <f>'[8]Podklady MZ'!L5</f>
        <v>134.6666666666666</v>
      </c>
      <c r="M28" s="190">
        <f>'[8]Podklady MZ'!M5</f>
        <v>222.58064516129045</v>
      </c>
      <c r="N28" s="190">
        <f>'[8]Podklady MZ'!N5</f>
        <v>325.66666666666663</v>
      </c>
      <c r="O28" s="191">
        <f>'[8]Podklady MZ'!O5</f>
        <v>370</v>
      </c>
      <c r="S28" s="77">
        <f t="shared" si="0"/>
        <v>42031</v>
      </c>
      <c r="T28" s="78">
        <f>INDEX([12]ČR!$D$18:$D$383,DATE(2016,MONTH(S28),DAY(S28))-DATE(2016,1,1)+1,1)/1000000</f>
        <v>44.959295144984566</v>
      </c>
      <c r="U28" s="78">
        <f>IF(T!$A$4&gt;=MONTH(S28),VLOOKUP(S28,'[8]Podklady MZ'!$R$2:$S$367,2,FALSE),NA())</f>
        <v>37.401552210421542</v>
      </c>
      <c r="V28" s="178">
        <f>INDEX([5]PT!$AF$16:$AF$381,DATE(2016,MONTH(S28),DAY(S28))-DATE(2016,1,1)+1,1)</f>
        <v>-0.1</v>
      </c>
      <c r="W28" s="178" t="e">
        <f>IF(T!$A$4&lt;MONTH(S28),VLOOKUP(S28,'[8]Podklady MZ'!$R$2:$S$367,2,FALSE),NA())</f>
        <v>#N/A</v>
      </c>
    </row>
    <row r="29" spans="1:23" ht="15" customHeight="1" x14ac:dyDescent="0.2">
      <c r="A29" s="1052"/>
      <c r="B29" s="1054" t="s">
        <v>130</v>
      </c>
      <c r="C29" s="161" t="s">
        <v>92</v>
      </c>
      <c r="D29" s="186">
        <f>'[8]Podklady MZ'!D6</f>
        <v>0.91219251430331394</v>
      </c>
      <c r="E29" s="187">
        <f>'[8]Podklady MZ'!E6</f>
        <v>1.3110234890123738</v>
      </c>
      <c r="F29" s="187">
        <f>'[8]Podklady MZ'!F6</f>
        <v>1.1299287824453401</v>
      </c>
      <c r="G29" s="187">
        <f>'[8]Podklady MZ'!G6</f>
        <v>1.27</v>
      </c>
      <c r="H29" s="187">
        <f>'[8]Podklady MZ'!H6</f>
        <v>0.59</v>
      </c>
      <c r="I29" s="187">
        <f>'[8]Podklady MZ'!I6</f>
        <v>0.25</v>
      </c>
      <c r="J29" s="187">
        <f>'[8]Podklady MZ'!J6</f>
        <v>0.12</v>
      </c>
      <c r="K29" s="187">
        <f>'[8]Podklady MZ'!K6</f>
        <v>0.15</v>
      </c>
      <c r="L29" s="187">
        <f>'[8]Podklady MZ'!L6</f>
        <v>0.81</v>
      </c>
      <c r="M29" s="187">
        <f>'[8]Podklady MZ'!M6</f>
        <v>1.05</v>
      </c>
      <c r="N29" s="187">
        <f>'[8]Podklady MZ'!N6</f>
        <v>1.41</v>
      </c>
      <c r="O29" s="188">
        <f>'[8]Podklady MZ'!O6</f>
        <v>1.48</v>
      </c>
      <c r="S29" s="77">
        <f t="shared" si="0"/>
        <v>42032</v>
      </c>
      <c r="T29" s="78">
        <f>INDEX([12]ČR!$D$18:$D$383,DATE(2016,MONTH(S29),DAY(S29))-DATE(2016,1,1)+1,1)/1000000</f>
        <v>42.900737261999915</v>
      </c>
      <c r="U29" s="78">
        <f>IF(T!$A$4&gt;=MONTH(S29),VLOOKUP(S29,'[8]Podklady MZ'!$R$2:$S$367,2,FALSE),NA())</f>
        <v>36.851973996198218</v>
      </c>
      <c r="V29" s="178">
        <f>INDEX([5]PT!$AF$16:$AF$381,DATE(2016,MONTH(S29),DAY(S29))-DATE(2016,1,1)+1,1)</f>
        <v>0.4</v>
      </c>
      <c r="W29" s="178" t="e">
        <f>IF(T!$A$4&lt;MONTH(S29),VLOOKUP(S29,'[8]Podklady MZ'!$R$2:$S$367,2,FALSE),NA())</f>
        <v>#N/A</v>
      </c>
    </row>
    <row r="30" spans="1:23" ht="15" customHeight="1" x14ac:dyDescent="0.2">
      <c r="A30" s="1053"/>
      <c r="B30" s="1055"/>
      <c r="C30" s="162" t="s">
        <v>203</v>
      </c>
      <c r="D30" s="189">
        <f>'[8]Podklady MZ'!D7</f>
        <v>9.6955474118236964</v>
      </c>
      <c r="E30" s="190">
        <f>'[8]Podklady MZ'!E7</f>
        <v>13.940307026974384</v>
      </c>
      <c r="F30" s="190">
        <f>'[8]Podklady MZ'!F7</f>
        <v>11.977245093920605</v>
      </c>
      <c r="G30" s="190">
        <f>'[8]Podklady MZ'!G7</f>
        <v>13.486190476190476</v>
      </c>
      <c r="H30" s="190">
        <f>'[8]Podklady MZ'!H7</f>
        <v>6.2687500000000016</v>
      </c>
      <c r="I30" s="190">
        <f>'[8]Podklady MZ'!I7</f>
        <v>2.6532258064516117</v>
      </c>
      <c r="J30" s="190">
        <f>'[8]Podklady MZ'!J7</f>
        <v>1.2744827586206902</v>
      </c>
      <c r="K30" s="190">
        <f>'[8]Podklady MZ'!K7</f>
        <v>1.5931034482758626</v>
      </c>
      <c r="L30" s="190">
        <f>'[8]Podklady MZ'!L7</f>
        <v>8.6115789473684146</v>
      </c>
      <c r="M30" s="190">
        <f>'[8]Podklady MZ'!M7</f>
        <v>11.146153846153842</v>
      </c>
      <c r="N30" s="190">
        <f>'[8]Podklady MZ'!N7</f>
        <v>14.973586956521745</v>
      </c>
      <c r="O30" s="191">
        <f>'[8]Podklady MZ'!O7</f>
        <v>15.718148148148146</v>
      </c>
      <c r="S30" s="77">
        <f t="shared" si="0"/>
        <v>42033</v>
      </c>
      <c r="T30" s="78">
        <f>INDEX([12]ČR!$D$18:$D$383,DATE(2016,MONTH(S30),DAY(S30))-DATE(2016,1,1)+1,1)/1000000</f>
        <v>43.300079571630462</v>
      </c>
      <c r="U30" s="78">
        <f>IF(T!$A$4&gt;=MONTH(S30),VLOOKUP(S30,'[8]Podklady MZ'!$R$2:$S$367,2,FALSE),NA())</f>
        <v>36.422352732700475</v>
      </c>
      <c r="V30" s="178">
        <f>INDEX([5]PT!$AF$16:$AF$381,DATE(2016,MONTH(S30),DAY(S30))-DATE(2016,1,1)+1,1)</f>
        <v>0</v>
      </c>
      <c r="W30" s="178" t="e">
        <f>IF(T!$A$4&lt;MONTH(S30),VLOOKUP(S30,'[8]Podklady MZ'!$R$2:$S$367,2,FALSE),NA())</f>
        <v>#N/A</v>
      </c>
    </row>
    <row r="31" spans="1:23" ht="15" customHeight="1" x14ac:dyDescent="0.2">
      <c r="A31" s="1042">
        <f>A27-1</f>
        <v>2014</v>
      </c>
      <c r="B31" s="1044" t="s">
        <v>198</v>
      </c>
      <c r="C31" s="174" t="s">
        <v>199</v>
      </c>
      <c r="D31" s="167">
        <f>'[13]Podklady MZ'!D4</f>
        <v>34.426418786756024</v>
      </c>
      <c r="E31" s="168">
        <f>'[13]Podklady MZ'!E4</f>
        <v>31.969366569568837</v>
      </c>
      <c r="F31" s="168">
        <f>'[13]Podklady MZ'!F4</f>
        <v>24.143655429913611</v>
      </c>
      <c r="G31" s="168">
        <f>'[13]Podklady MZ'!G4</f>
        <v>17.799591482063381</v>
      </c>
      <c r="H31" s="168">
        <f>'[13]Podklady MZ'!H4</f>
        <v>14.029818022003704</v>
      </c>
      <c r="I31" s="168">
        <f>'[13]Podklady MZ'!I4</f>
        <v>10.296530917335085</v>
      </c>
      <c r="J31" s="168">
        <f>'[13]Podklady MZ'!J4</f>
        <v>9.8536517348819075</v>
      </c>
      <c r="K31" s="168">
        <f>'[13]Podklady MZ'!K4</f>
        <v>9.6812899388848699</v>
      </c>
      <c r="L31" s="168">
        <f>'[13]Podklady MZ'!L4</f>
        <v>12.15872859562001</v>
      </c>
      <c r="M31" s="168">
        <f>'[13]Podklady MZ'!M4</f>
        <v>18.278340649690602</v>
      </c>
      <c r="N31" s="168">
        <f>'[13]Podklady MZ'!N4</f>
        <v>25.565706350094761</v>
      </c>
      <c r="O31" s="169">
        <f>'[13]Podklady MZ'!O4</f>
        <v>31.866204963614152</v>
      </c>
      <c r="S31" s="77">
        <f t="shared" si="0"/>
        <v>42034</v>
      </c>
      <c r="T31" s="78">
        <f>INDEX([12]ČR!$D$18:$D$383,DATE(2016,MONTH(S31),DAY(S31))-DATE(2016,1,1)+1,1)/1000000</f>
        <v>42.101394085754599</v>
      </c>
      <c r="U31" s="78">
        <f>IF(T!$A$4&gt;=MONTH(S31),VLOOKUP(S31,'[8]Podklady MZ'!$R$2:$S$367,2,FALSE),NA())</f>
        <v>36.207908544785177</v>
      </c>
      <c r="V31" s="178">
        <f>INDEX([5]PT!$AF$16:$AF$381,DATE(2016,MONTH(S31),DAY(S31))-DATE(2016,1,1)+1,1)</f>
        <v>-0.4</v>
      </c>
      <c r="W31" s="178" t="e">
        <f>IF(T!$A$4&lt;MONTH(S31),VLOOKUP(S31,'[8]Podklady MZ'!$R$2:$S$367,2,FALSE),NA())</f>
        <v>#N/A</v>
      </c>
    </row>
    <row r="32" spans="1:23" ht="15" customHeight="1" x14ac:dyDescent="0.2">
      <c r="A32" s="1042"/>
      <c r="B32" s="1045"/>
      <c r="C32" s="165" t="s">
        <v>16</v>
      </c>
      <c r="D32" s="171">
        <f>'[13]Podklady MZ'!D5</f>
        <v>366.70694240674038</v>
      </c>
      <c r="E32" s="172">
        <f>'[13]Podklady MZ'!E5</f>
        <v>339.93743587233706</v>
      </c>
      <c r="F32" s="172">
        <f>'[13]Podklady MZ'!F5</f>
        <v>256.47298146433201</v>
      </c>
      <c r="G32" s="172">
        <f>'[13]Podklady MZ'!G5</f>
        <v>189.30613124016651</v>
      </c>
      <c r="H32" s="172">
        <f>'[13]Podklady MZ'!H5</f>
        <v>149.31306196781159</v>
      </c>
      <c r="I32" s="172">
        <f>'[13]Podklady MZ'!I5</f>
        <v>109.61034014534772</v>
      </c>
      <c r="J32" s="172">
        <f>'[13]Podklady MZ'!J5</f>
        <v>104.42863376725933</v>
      </c>
      <c r="K32" s="172">
        <f>'[13]Podklady MZ'!K5</f>
        <v>103.3116008201003</v>
      </c>
      <c r="L32" s="172">
        <f>'[13]Podklady MZ'!L5</f>
        <v>129.52152849227559</v>
      </c>
      <c r="M32" s="172">
        <f>'[13]Podklady MZ'!M5</f>
        <v>194.21809878892401</v>
      </c>
      <c r="N32" s="172">
        <f>'[13]Podklady MZ'!N5</f>
        <v>271.54852778688797</v>
      </c>
      <c r="O32" s="173">
        <f>'[13]Podklady MZ'!O5</f>
        <v>338.17047241786503</v>
      </c>
      <c r="S32" s="77">
        <f t="shared" si="0"/>
        <v>42035</v>
      </c>
      <c r="T32" s="78">
        <f>INDEX([12]ČR!$D$18:$D$383,DATE(2016,MONTH(S32),DAY(S32))-DATE(2016,1,1)+1,1)/1000000</f>
        <v>37.604357527995035</v>
      </c>
      <c r="U32" s="78">
        <f>IF(T!$A$4&gt;=MONTH(S32),VLOOKUP(S32,'[8]Podklady MZ'!$R$2:$S$367,2,FALSE),NA())</f>
        <v>34.216637130923509</v>
      </c>
      <c r="V32" s="178">
        <f>INDEX([5]PT!$AF$16:$AF$381,DATE(2016,MONTH(S32),DAY(S32))-DATE(2016,1,1)+1,1)</f>
        <v>-1.7</v>
      </c>
      <c r="W32" s="178" t="e">
        <f>IF(T!$A$4&lt;MONTH(S32),VLOOKUP(S32,'[8]Podklady MZ'!$R$2:$S$367,2,FALSE),NA())</f>
        <v>#N/A</v>
      </c>
    </row>
    <row r="33" spans="1:23" ht="15" customHeight="1" x14ac:dyDescent="0.2">
      <c r="A33" s="1042"/>
      <c r="B33" s="1046" t="s">
        <v>130</v>
      </c>
      <c r="C33" s="166" t="s">
        <v>200</v>
      </c>
      <c r="D33" s="167">
        <f>'[13]Podklady MZ'!D6</f>
        <v>1.5321804729824582</v>
      </c>
      <c r="E33" s="168">
        <f>'[13]Podklady MZ'!E6</f>
        <v>1.562740852404906</v>
      </c>
      <c r="F33" s="168">
        <f>'[13]Podklady MZ'!F6</f>
        <v>0.97956040953488865</v>
      </c>
      <c r="G33" s="168">
        <f>'[13]Podklady MZ'!G6</f>
        <v>1.1020731733440596</v>
      </c>
      <c r="H33" s="168">
        <f>'[13]Podklady MZ'!H6</f>
        <v>0.57410943884344612</v>
      </c>
      <c r="I33" s="168">
        <f>'[13]Podklady MZ'!I6</f>
        <v>0.13831682531817241</v>
      </c>
      <c r="J33" s="168">
        <f>'[13]Podklady MZ'!J6</f>
        <v>0.22886050046818632</v>
      </c>
      <c r="K33" s="168">
        <f>'[13]Podklady MZ'!K6</f>
        <v>0.32703314228528513</v>
      </c>
      <c r="L33" s="168">
        <f>'[13]Podklady MZ'!L6</f>
        <v>0.5537919709257193</v>
      </c>
      <c r="M33" s="168">
        <f>'[13]Podklady MZ'!M6</f>
        <v>1.2295590453146168</v>
      </c>
      <c r="N33" s="168">
        <f>'[13]Podklady MZ'!N6</f>
        <v>1.2210835941697429</v>
      </c>
      <c r="O33" s="169">
        <f>'[13]Podklady MZ'!O6</f>
        <v>1.285121574442708</v>
      </c>
      <c r="S33" s="77">
        <f t="shared" si="0"/>
        <v>42036</v>
      </c>
      <c r="T33" s="78">
        <f>INDEX([12]ČR!$D$18:$D$383,DATE(2016,MONTH(S33),DAY(S33))-DATE(2016,1,1)+1,1)/1000000</f>
        <v>35.40180564039769</v>
      </c>
      <c r="U33" s="78">
        <f>IF(T!$A$4&gt;=MONTH(S33),VLOOKUP(S33,'[8]Podklady MZ'!$R$2:$S$367,2,FALSE),NA())</f>
        <v>34.443999782272932</v>
      </c>
      <c r="V33" s="178">
        <f>INDEX([5]PT!$AF$16:$AF$381,DATE(2016,MONTH(S33),DAY(S33))-DATE(2016,1,1)+1,1)</f>
        <v>-1.4</v>
      </c>
      <c r="W33" s="178" t="e">
        <f>IF(T!$A$4&lt;MONTH(S33),VLOOKUP(S33,'[8]Podklady MZ'!$R$2:$S$367,2,FALSE),NA())</f>
        <v>#N/A</v>
      </c>
    </row>
    <row r="34" spans="1:23" ht="15" customHeight="1" x14ac:dyDescent="0.2">
      <c r="A34" s="1043"/>
      <c r="B34" s="1047"/>
      <c r="C34" s="170" t="s">
        <v>203</v>
      </c>
      <c r="D34" s="171">
        <f>'[13]Podklady MZ'!D7</f>
        <v>16.320640841064211</v>
      </c>
      <c r="E34" s="172">
        <f>'[13]Podklady MZ'!E7</f>
        <v>16.616973537572306</v>
      </c>
      <c r="F34" s="172">
        <f>'[13]Podklady MZ'!F7</f>
        <v>10.40566452280312</v>
      </c>
      <c r="G34" s="172">
        <f>'[13]Podklady MZ'!G7</f>
        <v>11.721011069246879</v>
      </c>
      <c r="H34" s="172">
        <f>'[13]Podklady MZ'!H7</f>
        <v>6.1099893158909557</v>
      </c>
      <c r="I34" s="172">
        <f>'[13]Podklady MZ'!I7</f>
        <v>1.4724332294700115</v>
      </c>
      <c r="J34" s="172">
        <f>'[13]Podklady MZ'!J7</f>
        <v>2.4254550526257601</v>
      </c>
      <c r="K34" s="172">
        <f>'[13]Podklady MZ'!K7</f>
        <v>3.489856998809405</v>
      </c>
      <c r="L34" s="172">
        <f>'[13]Podklady MZ'!L7</f>
        <v>5.8992995835837538</v>
      </c>
      <c r="M34" s="172">
        <f>'[13]Podklady MZ'!M7</f>
        <v>13.064786607627402</v>
      </c>
      <c r="N34" s="172">
        <f>'[13]Podklady MZ'!N7</f>
        <v>12.969852964781724</v>
      </c>
      <c r="O34" s="173">
        <f>'[13]Podklady MZ'!O7</f>
        <v>13.637964434105347</v>
      </c>
      <c r="S34" s="77">
        <f t="shared" si="0"/>
        <v>42037</v>
      </c>
      <c r="T34" s="78">
        <f>INDEX([12]ČR!$D$18:$D$383,DATE(2016,MONTH(S34),DAY(S34))-DATE(2016,1,1)+1,1)/1000000</f>
        <v>36.256133201110949</v>
      </c>
      <c r="U34" s="78">
        <f>IF(T!$A$4&gt;=MONTH(S34),VLOOKUP(S34,'[8]Podklady MZ'!$R$2:$S$367,2,FALSE),NA())</f>
        <v>37.810030602166719</v>
      </c>
      <c r="V34" s="178">
        <f>INDEX([5]PT!$AF$16:$AF$381,DATE(2016,MONTH(S34),DAY(S34))-DATE(2016,1,1)+1,1)</f>
        <v>-1.6</v>
      </c>
      <c r="W34" s="178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6"/>
      <c r="D35" s="126"/>
      <c r="E35" s="46"/>
      <c r="F35" s="82"/>
      <c r="G35" s="82"/>
      <c r="H35" s="82"/>
      <c r="I35" s="82"/>
      <c r="J35" s="83"/>
      <c r="K35" s="83"/>
      <c r="L35" s="83"/>
      <c r="M35" s="83"/>
      <c r="N35" s="83"/>
      <c r="O35" s="79"/>
      <c r="S35" s="77">
        <f t="shared" si="0"/>
        <v>42038</v>
      </c>
      <c r="T35" s="78">
        <f>INDEX([12]ČR!$D$18:$D$383,DATE(2016,MONTH(S35),DAY(S35))-DATE(2016,1,1)+1,1)/1000000</f>
        <v>38.572839522920816</v>
      </c>
      <c r="U35" s="78">
        <f>IF(T!$A$4&gt;=MONTH(S35),VLOOKUP(S35,'[8]Podklady MZ'!$R$2:$S$367,2,FALSE),NA())</f>
        <v>40.079616216670246</v>
      </c>
      <c r="V35" s="178">
        <f>INDEX([5]PT!$AF$16:$AF$381,DATE(2016,MONTH(S35),DAY(S35))-DATE(2016,1,1)+1,1)</f>
        <v>-2.5</v>
      </c>
      <c r="W35" s="178" t="e">
        <f>IF(T!$A$4&lt;MONTH(S35),VLOOKUP(S35,'[8]Podklady MZ'!$R$2:$S$367,2,FALSE),NA())</f>
        <v>#N/A</v>
      </c>
    </row>
    <row r="36" spans="1:23" ht="7.5" customHeight="1" x14ac:dyDescent="0.2">
      <c r="S36" s="77">
        <f t="shared" si="0"/>
        <v>42039</v>
      </c>
      <c r="T36" s="78">
        <f>INDEX([12]ČR!$D$18:$D$383,DATE(2016,MONTH(S36),DAY(S36))-DATE(2016,1,1)+1,1)/1000000</f>
        <v>38.774449049186302</v>
      </c>
      <c r="U36" s="78">
        <f>IF(T!$A$4&gt;=MONTH(S36),VLOOKUP(S36,'[8]Podklady MZ'!$R$2:$S$367,2,FALSE),NA())</f>
        <v>41.461490277269561</v>
      </c>
      <c r="V36" s="178">
        <f>INDEX([5]PT!$AF$16:$AF$381,DATE(2016,MONTH(S36),DAY(S36))-DATE(2016,1,1)+1,1)</f>
        <v>-2.9</v>
      </c>
      <c r="W36" s="178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9"/>
      <c r="K37" s="69"/>
      <c r="S37" s="77">
        <f t="shared" si="0"/>
        <v>42040</v>
      </c>
      <c r="T37" s="78">
        <f>INDEX([12]ČR!$D$18:$D$383,DATE(2016,MONTH(S37),DAY(S37))-DATE(2016,1,1)+1,1)/1000000</f>
        <v>38.146355387707018</v>
      </c>
      <c r="U37" s="78">
        <f>IF(T!$A$4&gt;=MONTH(S37),VLOOKUP(S37,'[8]Podklady MZ'!$R$2:$S$367,2,FALSE),NA())</f>
        <v>42.621557004484409</v>
      </c>
      <c r="V37" s="178">
        <f>INDEX([5]PT!$AF$16:$AF$381,DATE(2016,MONTH(S37),DAY(S37))-DATE(2016,1,1)+1,1)</f>
        <v>-3.4</v>
      </c>
      <c r="W37" s="178" t="e">
        <f>IF(T!$A$4&lt;MONTH(S37),VLOOKUP(S37,'[8]Podklady MZ'!$R$2:$S$367,2,FALSE),NA())</f>
        <v>#N/A</v>
      </c>
    </row>
    <row r="38" spans="1:23" ht="12.95" customHeight="1" x14ac:dyDescent="0.2">
      <c r="A38" s="1041" t="s">
        <v>403</v>
      </c>
      <c r="B38" s="1041"/>
      <c r="C38" s="1041"/>
      <c r="D38" s="1041"/>
      <c r="E38" s="1041"/>
      <c r="F38" s="1041"/>
      <c r="G38" s="1041"/>
      <c r="H38" s="1041"/>
      <c r="I38" s="1041"/>
      <c r="J38" s="1041"/>
      <c r="K38" s="1041"/>
      <c r="L38" s="1041"/>
      <c r="M38" s="1041"/>
      <c r="N38" s="1041"/>
      <c r="O38" s="1041"/>
      <c r="S38" s="77">
        <f t="shared" si="0"/>
        <v>42041</v>
      </c>
      <c r="T38" s="78">
        <f>INDEX([12]ČR!$D$18:$D$383,DATE(2016,MONTH(S38),DAY(S38))-DATE(2016,1,1)+1,1)/1000000</f>
        <v>35.601336772849407</v>
      </c>
      <c r="U38" s="78">
        <f>IF(T!$A$4&gt;=MONTH(S38),VLOOKUP(S38,'[8]Podklady MZ'!$R$2:$S$367,2,FALSE),NA())</f>
        <v>41.002694837526164</v>
      </c>
      <c r="V38" s="178">
        <f>INDEX([5]PT!$AF$16:$AF$381,DATE(2016,MONTH(S38),DAY(S38))-DATE(2016,1,1)+1,1)</f>
        <v>-3.9</v>
      </c>
      <c r="W38" s="178" t="e">
        <f>IF(T!$A$4&lt;MONTH(S38),VLOOKUP(S38,'[8]Podklady MZ'!$R$2:$S$367,2,FALSE),NA())</f>
        <v>#N/A</v>
      </c>
    </row>
    <row r="39" spans="1:23" ht="12.95" customHeight="1" x14ac:dyDescent="0.2">
      <c r="A39" s="1041"/>
      <c r="B39" s="1041"/>
      <c r="C39" s="1041"/>
      <c r="D39" s="1041"/>
      <c r="E39" s="1041"/>
      <c r="F39" s="1041"/>
      <c r="G39" s="768"/>
      <c r="H39" s="768"/>
      <c r="I39" s="47"/>
      <c r="J39" s="69"/>
      <c r="K39" s="69"/>
      <c r="S39" s="77">
        <f t="shared" si="0"/>
        <v>42042</v>
      </c>
      <c r="T39" s="78">
        <f>INDEX([12]ČR!$D$18:$D$383,DATE(2016,MONTH(S39),DAY(S39))-DATE(2016,1,1)+1,1)/1000000</f>
        <v>34.086895744836866</v>
      </c>
      <c r="U39" s="78">
        <f>IF(T!$A$4&gt;=MONTH(S39),VLOOKUP(S39,'[8]Podklady MZ'!$R$2:$S$367,2,FALSE),NA())</f>
        <v>36.310293564588683</v>
      </c>
      <c r="V39" s="178">
        <f>INDEX([5]PT!$AF$16:$AF$381,DATE(2016,MONTH(S39),DAY(S39))-DATE(2016,1,1)+1,1)</f>
        <v>-3.7</v>
      </c>
      <c r="W39" s="178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2"/>
      <c r="D40" s="72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S40" s="77">
        <f t="shared" si="0"/>
        <v>42043</v>
      </c>
      <c r="T40" s="78">
        <f>INDEX([12]ČR!$D$18:$D$383,DATE(2016,MONTH(S40),DAY(S40))-DATE(2016,1,1)+1,1)/1000000</f>
        <v>28.27191480409385</v>
      </c>
      <c r="U40" s="78">
        <f>IF(T!$A$4&gt;=MONTH(S40),VLOOKUP(S40,'[8]Podklady MZ'!$R$2:$S$367,2,FALSE),NA())</f>
        <v>37.694738891570495</v>
      </c>
      <c r="V40" s="178">
        <f>INDEX([5]PT!$AF$16:$AF$381,DATE(2016,MONTH(S40),DAY(S40))-DATE(2016,1,1)+1,1)</f>
        <v>-2.2999999999999998</v>
      </c>
      <c r="W40" s="178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2"/>
      <c r="D41" s="72"/>
      <c r="E41" s="72"/>
      <c r="F41" s="47"/>
      <c r="G41" s="47"/>
      <c r="H41" s="47"/>
      <c r="I41" s="47"/>
      <c r="J41" s="69"/>
      <c r="K41" s="47"/>
      <c r="S41" s="77">
        <f t="shared" si="0"/>
        <v>42044</v>
      </c>
      <c r="T41" s="78">
        <f>INDEX([12]ČR!$D$18:$D$383,DATE(2016,MONTH(S41),DAY(S41))-DATE(2016,1,1)+1,1)/1000000</f>
        <v>30.067092573339991</v>
      </c>
      <c r="U41" s="78">
        <f>IF(T!$A$4&gt;=MONTH(S41),VLOOKUP(S41,'[8]Podklady MZ'!$R$2:$S$367,2,FALSE),NA())</f>
        <v>39.125366627788033</v>
      </c>
      <c r="V41" s="178">
        <f>INDEX([5]PT!$AF$16:$AF$381,DATE(2016,MONTH(S41),DAY(S41))-DATE(2016,1,1)+1,1)</f>
        <v>0.4</v>
      </c>
      <c r="W41" s="178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2"/>
      <c r="D42" s="72"/>
      <c r="E42" s="72"/>
      <c r="F42" s="47"/>
      <c r="G42" s="47"/>
      <c r="H42" s="47"/>
      <c r="I42" s="47"/>
      <c r="J42" s="69"/>
      <c r="K42" s="47"/>
      <c r="S42" s="77">
        <f t="shared" si="0"/>
        <v>42045</v>
      </c>
      <c r="T42" s="78">
        <f>INDEX([12]ČR!$D$18:$D$383,DATE(2016,MONTH(S42),DAY(S42))-DATE(2016,1,1)+1,1)/1000000</f>
        <v>32.448626975947981</v>
      </c>
      <c r="U42" s="78">
        <f>IF(T!$A$4&gt;=MONTH(S42),VLOOKUP(S42,'[8]Podklady MZ'!$R$2:$S$367,2,FALSE),NA())</f>
        <v>35.860134716284335</v>
      </c>
      <c r="V42" s="178">
        <f>INDEX([5]PT!$AF$16:$AF$381,DATE(2016,MONTH(S42),DAY(S42))-DATE(2016,1,1)+1,1)</f>
        <v>2.4</v>
      </c>
      <c r="W42" s="178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2"/>
      <c r="D43" s="72"/>
      <c r="E43" s="72"/>
      <c r="F43" s="47"/>
      <c r="G43" s="47"/>
      <c r="H43" s="47"/>
      <c r="I43" s="47"/>
      <c r="J43" s="69"/>
      <c r="K43" s="47"/>
      <c r="S43" s="77">
        <f t="shared" si="0"/>
        <v>42046</v>
      </c>
      <c r="T43" s="78">
        <f>INDEX([12]ČR!$D$18:$D$383,DATE(2016,MONTH(S43),DAY(S43))-DATE(2016,1,1)+1,1)/1000000</f>
        <v>32.699052033250474</v>
      </c>
      <c r="U43" s="78">
        <f>IF(T!$A$4&gt;=MONTH(S43),VLOOKUP(S43,'[8]Podklady MZ'!$R$2:$S$367,2,FALSE),NA())</f>
        <v>35.500375108909473</v>
      </c>
      <c r="V43" s="178">
        <f>INDEX([5]PT!$AF$16:$AF$381,DATE(2016,MONTH(S43),DAY(S43))-DATE(2016,1,1)+1,1)</f>
        <v>0.8</v>
      </c>
      <c r="W43" s="178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2"/>
      <c r="D44" s="72"/>
      <c r="E44" s="72"/>
      <c r="F44" s="47"/>
      <c r="G44" s="47"/>
      <c r="H44" s="47"/>
      <c r="I44" s="47"/>
      <c r="J44" s="69"/>
      <c r="K44" s="47"/>
      <c r="S44" s="77">
        <f t="shared" si="0"/>
        <v>42047</v>
      </c>
      <c r="T44" s="78">
        <f>INDEX([12]ČR!$D$18:$D$383,DATE(2016,MONTH(S44),DAY(S44))-DATE(2016,1,1)+1,1)/1000000</f>
        <v>34.882585752032831</v>
      </c>
      <c r="U44" s="78">
        <f>IF(T!$A$4&gt;=MONTH(S44),VLOOKUP(S44,'[8]Podklady MZ'!$R$2:$S$367,2,FALSE),NA())</f>
        <v>35.94283126686328</v>
      </c>
      <c r="V44" s="178">
        <f>INDEX([5]PT!$AF$16:$AF$381,DATE(2016,MONTH(S44),DAY(S44))-DATE(2016,1,1)+1,1)</f>
        <v>0.6</v>
      </c>
      <c r="W44" s="178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2"/>
      <c r="D45" s="72"/>
      <c r="E45" s="72"/>
      <c r="F45" s="47"/>
      <c r="G45" s="47"/>
      <c r="H45" s="47"/>
      <c r="I45" s="47"/>
      <c r="J45" s="69"/>
      <c r="K45" s="47"/>
      <c r="N45" s="67"/>
      <c r="O45" s="67"/>
      <c r="P45" s="67"/>
      <c r="Q45" s="67"/>
      <c r="R45" s="67"/>
      <c r="S45" s="77">
        <f t="shared" si="0"/>
        <v>42048</v>
      </c>
      <c r="T45" s="78">
        <f>INDEX([12]ČR!$D$18:$D$383,DATE(2016,MONTH(S45),DAY(S45))-DATE(2016,1,1)+1,1)/1000000</f>
        <v>33.101919421790853</v>
      </c>
      <c r="U45" s="78">
        <f>IF(T!$A$4&gt;=MONTH(S45),VLOOKUP(S45,'[8]Podklady MZ'!$R$2:$S$367,2,FALSE),NA())</f>
        <v>35.457735692935167</v>
      </c>
      <c r="V45" s="178">
        <f>INDEX([5]PT!$AF$16:$AF$381,DATE(2016,MONTH(S45),DAY(S45))-DATE(2016,1,1)+1,1)</f>
        <v>-0.1</v>
      </c>
      <c r="W45" s="178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2"/>
      <c r="D46" s="72"/>
      <c r="E46" s="72"/>
      <c r="F46" s="70"/>
      <c r="G46" s="70"/>
      <c r="H46" s="70"/>
      <c r="I46" s="70"/>
      <c r="J46" s="70"/>
      <c r="K46" s="70"/>
      <c r="S46" s="77">
        <f t="shared" si="0"/>
        <v>42049</v>
      </c>
      <c r="T46" s="78">
        <f>INDEX([12]ČR!$D$18:$D$383,DATE(2016,MONTH(S46),DAY(S46))-DATE(2016,1,1)+1,1)/1000000</f>
        <v>31.440608091089793</v>
      </c>
      <c r="U46" s="78">
        <f>IF(T!$A$4&gt;=MONTH(S46),VLOOKUP(S46,'[8]Podklady MZ'!$R$2:$S$367,2,FALSE),NA())</f>
        <v>32.32461074416856</v>
      </c>
      <c r="V46" s="178">
        <f>INDEX([5]PT!$AF$16:$AF$381,DATE(2016,MONTH(S46),DAY(S46))-DATE(2016,1,1)+1,1)</f>
        <v>0.7</v>
      </c>
      <c r="W46" s="178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2"/>
      <c r="D47" s="72"/>
      <c r="E47" s="72"/>
      <c r="F47" s="70"/>
      <c r="G47" s="70"/>
      <c r="H47" s="70"/>
      <c r="I47" s="70"/>
      <c r="J47" s="70"/>
      <c r="K47" s="70"/>
      <c r="S47" s="77">
        <f t="shared" si="0"/>
        <v>42050</v>
      </c>
      <c r="T47" s="78">
        <f>INDEX([12]ČR!$D$18:$D$383,DATE(2016,MONTH(S47),DAY(S47))-DATE(2016,1,1)+1,1)/1000000</f>
        <v>28.101454696781424</v>
      </c>
      <c r="U47" s="78">
        <f>IF(T!$A$4&gt;=MONTH(S47),VLOOKUP(S47,'[8]Podklady MZ'!$R$2:$S$367,2,FALSE),NA())</f>
        <v>31.653059206051871</v>
      </c>
      <c r="V47" s="178">
        <f>INDEX([5]PT!$AF$16:$AF$381,DATE(2016,MONTH(S47),DAY(S47))-DATE(2016,1,1)+1,1)</f>
        <v>2.2999999999999998</v>
      </c>
      <c r="W47" s="178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2"/>
      <c r="D48" s="72"/>
      <c r="E48" s="72"/>
      <c r="F48" s="70"/>
      <c r="G48" s="70"/>
      <c r="H48" s="70"/>
      <c r="I48" s="70"/>
      <c r="J48" s="70"/>
      <c r="K48" s="70"/>
      <c r="S48" s="77">
        <f t="shared" si="0"/>
        <v>42051</v>
      </c>
      <c r="T48" s="78">
        <f>INDEX([12]ČR!$D$18:$D$383,DATE(2016,MONTH(S48),DAY(S48))-DATE(2016,1,1)+1,1)/1000000</f>
        <v>29.299297569510962</v>
      </c>
      <c r="U48" s="78">
        <f>IF(T!$A$4&gt;=MONTH(S48),VLOOKUP(S48,'[8]Podklady MZ'!$R$2:$S$367,2,FALSE),NA())</f>
        <v>35.010214404985817</v>
      </c>
      <c r="V48" s="178">
        <f>INDEX([5]PT!$AF$16:$AF$381,DATE(2016,MONTH(S48),DAY(S48))-DATE(2016,1,1)+1,1)</f>
        <v>0.8</v>
      </c>
      <c r="W48" s="178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2"/>
      <c r="D49" s="72"/>
      <c r="E49" s="72"/>
      <c r="F49" s="70"/>
      <c r="G49" s="70"/>
      <c r="H49" s="70"/>
      <c r="I49" s="70"/>
      <c r="J49" s="70"/>
      <c r="K49" s="70"/>
      <c r="S49" s="77">
        <f t="shared" si="0"/>
        <v>42052</v>
      </c>
      <c r="T49" s="78">
        <f>INDEX([12]ČR!$D$18:$D$383,DATE(2016,MONTH(S49),DAY(S49))-DATE(2016,1,1)+1,1)/1000000</f>
        <v>30.772013046219641</v>
      </c>
      <c r="U49" s="78">
        <f>IF(T!$A$4&gt;=MONTH(S49),VLOOKUP(S49,'[8]Podklady MZ'!$R$2:$S$367,2,FALSE),NA())</f>
        <v>36.27382433829149</v>
      </c>
      <c r="V49" s="178">
        <f>INDEX([5]PT!$AF$16:$AF$381,DATE(2016,MONTH(S49),DAY(S49))-DATE(2016,1,1)+1,1)</f>
        <v>-0.2</v>
      </c>
      <c r="W49" s="178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2"/>
      <c r="D50" s="72"/>
      <c r="E50" s="72"/>
      <c r="F50" s="70"/>
      <c r="G50" s="70"/>
      <c r="H50" s="70"/>
      <c r="I50" s="70"/>
      <c r="J50" s="70"/>
      <c r="K50" s="70"/>
      <c r="S50" s="77">
        <f t="shared" si="0"/>
        <v>42053</v>
      </c>
      <c r="T50" s="78">
        <f>INDEX([12]ČR!$D$18:$D$383,DATE(2016,MONTH(S50),DAY(S50))-DATE(2016,1,1)+1,1)/1000000</f>
        <v>31.843277658628132</v>
      </c>
      <c r="U50" s="78">
        <f>IF(T!$A$4&gt;=MONTH(S50),VLOOKUP(S50,'[8]Podklady MZ'!$R$2:$S$367,2,FALSE),NA())</f>
        <v>36.879590118145963</v>
      </c>
      <c r="V50" s="178">
        <f>INDEX([5]PT!$AF$16:$AF$381,DATE(2016,MONTH(S50),DAY(S50))-DATE(2016,1,1)+1,1)</f>
        <v>-0.3</v>
      </c>
      <c r="W50" s="178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2"/>
      <c r="D51" s="72"/>
      <c r="E51" s="72"/>
      <c r="F51" s="70"/>
      <c r="G51" s="70"/>
      <c r="H51" s="70"/>
      <c r="I51" s="70"/>
      <c r="J51" s="70"/>
      <c r="K51" s="70"/>
      <c r="S51" s="77">
        <f t="shared" si="0"/>
        <v>42054</v>
      </c>
      <c r="T51" s="78">
        <f>INDEX([12]ČR!$D$18:$D$383,DATE(2016,MONTH(S51),DAY(S51))-DATE(2016,1,1)+1,1)/1000000</f>
        <v>30.934519984747681</v>
      </c>
      <c r="U51" s="78">
        <f>IF(T!$A$4&gt;=MONTH(S51),VLOOKUP(S51,'[8]Podklady MZ'!$R$2:$S$367,2,FALSE),NA())</f>
        <v>36.528261146452671</v>
      </c>
      <c r="V51" s="178">
        <f>INDEX([5]PT!$AF$16:$AF$381,DATE(2016,MONTH(S51),DAY(S51))-DATE(2016,1,1)+1,1)</f>
        <v>-0.6</v>
      </c>
      <c r="W51" s="178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2"/>
      <c r="D52" s="72"/>
      <c r="E52" s="72"/>
      <c r="F52" s="70"/>
      <c r="G52" s="70"/>
      <c r="H52" s="70"/>
      <c r="I52" s="70"/>
      <c r="J52" s="70"/>
      <c r="K52" s="70"/>
      <c r="S52" s="77">
        <f t="shared" si="0"/>
        <v>42055</v>
      </c>
      <c r="T52" s="78">
        <f>INDEX([12]ČR!$D$18:$D$383,DATE(2016,MONTH(S52),DAY(S52))-DATE(2016,1,1)+1,1)/1000000</f>
        <v>29.665237368062613</v>
      </c>
      <c r="U52" s="78">
        <f>IF(T!$A$4&gt;=MONTH(S52),VLOOKUP(S52,'[8]Podklady MZ'!$R$2:$S$367,2,FALSE),NA())</f>
        <v>33.703544034626219</v>
      </c>
      <c r="V52" s="178">
        <f>INDEX([5]PT!$AF$16:$AF$381,DATE(2016,MONTH(S52),DAY(S52))-DATE(2016,1,1)+1,1)</f>
        <v>1.2</v>
      </c>
      <c r="W52" s="178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7">
        <f t="shared" si="0"/>
        <v>42056</v>
      </c>
      <c r="T53" s="78">
        <f>INDEX([12]ČR!$D$18:$D$383,DATE(2016,MONTH(S53),DAY(S53))-DATE(2016,1,1)+1,1)/1000000</f>
        <v>28.690933982194814</v>
      </c>
      <c r="U53" s="78">
        <f>IF(T!$A$4&gt;=MONTH(S53),VLOOKUP(S53,'[8]Podklady MZ'!$R$2:$S$367,2,FALSE),NA())</f>
        <v>29.747995538224668</v>
      </c>
      <c r="V53" s="178">
        <f>INDEX([5]PT!$AF$16:$AF$381,DATE(2016,MONTH(S53),DAY(S53))-DATE(2016,1,1)+1,1)</f>
        <v>2</v>
      </c>
      <c r="W53" s="178" t="e">
        <f>IF(T!$A$4&lt;MONTH(S53),VLOOKUP(S53,'[8]Podklady MZ'!$R$2:$S$367,2,FALSE),NA())</f>
        <v>#N/A</v>
      </c>
    </row>
    <row r="54" spans="1:23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S54" s="77">
        <f t="shared" si="0"/>
        <v>42057</v>
      </c>
      <c r="T54" s="78">
        <f>INDEX([12]ČR!$D$18:$D$383,DATE(2016,MONTH(S54),DAY(S54))-DATE(2016,1,1)+1,1)/1000000</f>
        <v>26.488220342388296</v>
      </c>
      <c r="U54" s="78">
        <f>IF(T!$A$4&gt;=MONTH(S54),VLOOKUP(S54,'[8]Podklady MZ'!$R$2:$S$367,2,FALSE),NA())</f>
        <v>30.593376885161437</v>
      </c>
      <c r="V54" s="178">
        <f>INDEX([5]PT!$AF$16:$AF$381,DATE(2016,MONTH(S54),DAY(S54))-DATE(2016,1,1)+1,1)</f>
        <v>2</v>
      </c>
      <c r="W54" s="178" t="e">
        <f>IF(T!$A$4&lt;MONTH(S54),VLOOKUP(S54,'[8]Podklady MZ'!$R$2:$S$367,2,FALSE),NA())</f>
        <v>#N/A</v>
      </c>
    </row>
    <row r="55" spans="1:23" x14ac:dyDescent="0.2">
      <c r="S55" s="77">
        <f t="shared" si="0"/>
        <v>42058</v>
      </c>
      <c r="T55" s="78">
        <f>INDEX([12]ČR!$D$18:$D$383,DATE(2016,MONTH(S55),DAY(S55))-DATE(2016,1,1)+1,1)/1000000</f>
        <v>27.234455430524132</v>
      </c>
      <c r="U55" s="78">
        <f>IF(T!$A$4&gt;=MONTH(S55),VLOOKUP(S55,'[8]Podklady MZ'!$R$2:$S$367,2,FALSE),NA())</f>
        <v>33.462862272904239</v>
      </c>
      <c r="V55" s="178">
        <f>INDEX([5]PT!$AF$16:$AF$381,DATE(2016,MONTH(S55),DAY(S55))-DATE(2016,1,1)+1,1)</f>
        <v>3.1</v>
      </c>
      <c r="W55" s="178" t="e">
        <f>IF(T!$A$4&lt;MONTH(S55),VLOOKUP(S55,'[8]Podklady MZ'!$R$2:$S$367,2,FALSE),NA())</f>
        <v>#N/A</v>
      </c>
    </row>
    <row r="56" spans="1:23" x14ac:dyDescent="0.2">
      <c r="S56" s="77">
        <f t="shared" si="0"/>
        <v>42059</v>
      </c>
      <c r="T56" s="78">
        <f>INDEX([12]ČR!$D$18:$D$383,DATE(2016,MONTH(S56),DAY(S56))-DATE(2016,1,1)+1,1)/1000000</f>
        <v>29.906002272638524</v>
      </c>
      <c r="U56" s="78">
        <f>IF(T!$A$4&gt;=MONTH(S56),VLOOKUP(S56,'[8]Podklady MZ'!$R$2:$S$367,2,FALSE),NA())</f>
        <v>32.092613243413886</v>
      </c>
      <c r="V56" s="178">
        <f>INDEX([5]PT!$AF$16:$AF$381,DATE(2016,MONTH(S56),DAY(S56))-DATE(2016,1,1)+1,1)</f>
        <v>3.7</v>
      </c>
      <c r="W56" s="178" t="e">
        <f>IF(T!$A$4&lt;MONTH(S56),VLOOKUP(S56,'[8]Podklady MZ'!$R$2:$S$367,2,FALSE),NA())</f>
        <v>#N/A</v>
      </c>
    </row>
    <row r="57" spans="1:23" x14ac:dyDescent="0.2">
      <c r="S57" s="77">
        <f t="shared" si="0"/>
        <v>42060</v>
      </c>
      <c r="T57" s="78">
        <f>INDEX([12]ČR!$D$18:$D$383,DATE(2016,MONTH(S57),DAY(S57))-DATE(2016,1,1)+1,1)/1000000</f>
        <v>31.25101908209286</v>
      </c>
      <c r="U57" s="78">
        <f>IF(T!$A$4&gt;=MONTH(S57),VLOOKUP(S57,'[8]Podklady MZ'!$R$2:$S$367,2,FALSE),NA())</f>
        <v>33.199114901346874</v>
      </c>
      <c r="V57" s="178">
        <f>INDEX([5]PT!$AF$16:$AF$381,DATE(2016,MONTH(S57),DAY(S57))-DATE(2016,1,1)+1,1)</f>
        <v>2.4</v>
      </c>
      <c r="W57" s="178" t="e">
        <f>IF(T!$A$4&lt;MONTH(S57),VLOOKUP(S57,'[8]Podklady MZ'!$R$2:$S$367,2,FALSE),NA())</f>
        <v>#N/A</v>
      </c>
    </row>
    <row r="58" spans="1:23" x14ac:dyDescent="0.2">
      <c r="S58" s="77">
        <f t="shared" si="0"/>
        <v>42061</v>
      </c>
      <c r="T58" s="78">
        <f>INDEX([12]ČR!$D$18:$D$383,DATE(2016,MONTH(S58),DAY(S58))-DATE(2016,1,1)+1,1)/1000000</f>
        <v>30.588975385689579</v>
      </c>
      <c r="U58" s="78">
        <f>IF(T!$A$4&gt;=MONTH(S58),VLOOKUP(S58,'[8]Podklady MZ'!$R$2:$S$367,2,FALSE),NA())</f>
        <v>33.339268505793576</v>
      </c>
      <c r="V58" s="178">
        <f>INDEX([5]PT!$AF$16:$AF$381,DATE(2016,MONTH(S58),DAY(S58))-DATE(2016,1,1)+1,1)</f>
        <v>2</v>
      </c>
      <c r="W58" s="178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7">
        <f t="shared" si="0"/>
        <v>42062</v>
      </c>
      <c r="T59" s="78">
        <f>INDEX([12]ČR!$D$18:$D$383,DATE(2016,MONTH(S59),DAY(S59))-DATE(2016,1,1)+1,1)/1000000</f>
        <v>30.438781690691069</v>
      </c>
      <c r="U59" s="78">
        <f>IF(T!$A$4&gt;=MONTH(S59),VLOOKUP(S59,'[8]Podklady MZ'!$R$2:$S$367,2,FALSE),NA())</f>
        <v>32.085560383060248</v>
      </c>
      <c r="V59" s="178">
        <f>INDEX([5]PT!$AF$16:$AF$381,DATE(2016,MONTH(S59),DAY(S59))-DATE(2016,1,1)+1,1)</f>
        <v>2.5</v>
      </c>
      <c r="W59" s="178" t="e">
        <f>IF(T!$A$4&lt;MONTH(S59),VLOOKUP(S59,'[8]Podklady MZ'!$R$2:$S$367,2,FALSE),NA())</f>
        <v>#N/A</v>
      </c>
    </row>
    <row r="60" spans="1:23" x14ac:dyDescent="0.2">
      <c r="D60" s="13"/>
      <c r="E60" s="71"/>
      <c r="F60" s="71"/>
      <c r="G60" s="71"/>
      <c r="S60" s="77">
        <f t="shared" si="0"/>
        <v>42063</v>
      </c>
      <c r="T60" s="78">
        <f>INDEX([12]ČR!$D$18:$D$383,DATE(2016,MONTH(S60),DAY(S60))-DATE(2016,1,1)+1,1)/1000000</f>
        <v>30.176460467202809</v>
      </c>
      <c r="U60" s="78">
        <f>IF(T!$A$4&gt;=MONTH(S60),VLOOKUP(S60,'[8]Podklady MZ'!$R$2:$S$367,2,FALSE),NA())</f>
        <v>29.662131335351482</v>
      </c>
      <c r="V60" s="178">
        <f>INDEX([5]PT!$AF$16:$AF$381,DATE(2016,MONTH(S60),DAY(S60))-DATE(2016,1,1)+1,1)</f>
        <v>2.2000000000000002</v>
      </c>
      <c r="W60" s="178" t="e">
        <f>IF(T!$A$4&lt;MONTH(S60),VLOOKUP(S60,'[8]Podklady MZ'!$R$2:$S$367,2,FALSE),NA())</f>
        <v>#N/A</v>
      </c>
    </row>
    <row r="61" spans="1:23" x14ac:dyDescent="0.2">
      <c r="D61" s="13"/>
      <c r="E61" s="71"/>
      <c r="F61" s="71"/>
      <c r="G61" s="71"/>
      <c r="S61" s="77">
        <f t="shared" si="0"/>
        <v>42064</v>
      </c>
      <c r="T61" s="78">
        <f>INDEX([12]ČR!$D$18:$D$383,DATE(2016,MONTH(S61),DAY(S61))-DATE(2016,1,1)+1,1)/1000000</f>
        <v>26.972210961170788</v>
      </c>
      <c r="U61" s="78" t="e">
        <f>IF(T!$A$4&gt;=MONTH(S61),VLOOKUP(S61,'[8]Podklady MZ'!$R$2:$S$367,2,FALSE),NA())</f>
        <v>#N/A</v>
      </c>
      <c r="V61" s="178">
        <f>INDEX([5]PT!$AF$16:$AF$381,DATE(2016,MONTH(S61),DAY(S61))-DATE(2016,1,1)+1,1)</f>
        <v>0</v>
      </c>
      <c r="W61" s="178">
        <f>IF(T!$A$4&lt;MONTH(S61),VLOOKUP(S61,'[8]Podklady MZ'!$R$2:$S$367,2,FALSE),NA())</f>
        <v>30.222739402515725</v>
      </c>
    </row>
    <row r="62" spans="1:23" x14ac:dyDescent="0.2">
      <c r="D62" s="13"/>
      <c r="E62" s="71"/>
      <c r="F62" s="71"/>
      <c r="G62" s="71"/>
      <c r="S62" s="77">
        <f t="shared" si="0"/>
        <v>42065</v>
      </c>
      <c r="T62" s="78">
        <f>INDEX([12]ČR!$D$18:$D$383,DATE(2016,MONTH(S62),DAY(S62))-DATE(2016,1,1)+1,1)/1000000</f>
        <v>25.663281690544249</v>
      </c>
      <c r="U62" s="78" t="e">
        <f>IF(T!$A$4&gt;=MONTH(S62),VLOOKUP(S62,'[8]Podklady MZ'!$R$2:$S$367,2,FALSE),NA())</f>
        <v>#N/A</v>
      </c>
      <c r="V62" s="178">
        <f>INDEX([5]PT!$AF$16:$AF$381,DATE(2016,MONTH(S62),DAY(S62))-DATE(2016,1,1)+1,1)</f>
        <v>0</v>
      </c>
      <c r="W62" s="178">
        <f>IF(T!$A$4&lt;MONTH(S62),VLOOKUP(S62,'[8]Podklady MZ'!$R$2:$S$367,2,FALSE),NA())</f>
        <v>32.066782044025153</v>
      </c>
    </row>
    <row r="63" spans="1:23" x14ac:dyDescent="0.2">
      <c r="D63" s="13"/>
      <c r="E63" s="71"/>
      <c r="F63" s="71"/>
      <c r="G63" s="71"/>
      <c r="S63" s="77">
        <f t="shared" si="0"/>
        <v>42066</v>
      </c>
      <c r="T63" s="78">
        <f>INDEX([12]ČR!$D$18:$D$383,DATE(2016,MONTH(S63),DAY(S63))-DATE(2016,1,1)+1,1)/1000000</f>
        <v>29.095378971123555</v>
      </c>
      <c r="U63" s="78" t="e">
        <f>IF(T!$A$4&gt;=MONTH(S63),VLOOKUP(S63,'[8]Podklady MZ'!$R$2:$S$367,2,FALSE),NA())</f>
        <v>#N/A</v>
      </c>
      <c r="V63" s="178">
        <f>INDEX([5]PT!$AF$16:$AF$381,DATE(2016,MONTH(S63),DAY(S63))-DATE(2016,1,1)+1,1)</f>
        <v>0</v>
      </c>
      <c r="W63" s="178">
        <f>IF(T!$A$4&lt;MONTH(S63),VLOOKUP(S63,'[8]Podklady MZ'!$R$2:$S$367,2,FALSE),NA())</f>
        <v>31.978910157232704</v>
      </c>
    </row>
    <row r="64" spans="1:23" x14ac:dyDescent="0.2">
      <c r="D64" s="13"/>
      <c r="E64" s="71"/>
      <c r="F64" s="71"/>
      <c r="G64" s="71"/>
      <c r="S64" s="77">
        <f t="shared" si="0"/>
        <v>42067</v>
      </c>
      <c r="T64" s="78">
        <f>INDEX([12]ČR!$D$18:$D$383,DATE(2016,MONTH(S64),DAY(S64))-DATE(2016,1,1)+1,1)/1000000</f>
        <v>28.783560334980706</v>
      </c>
      <c r="U64" s="78" t="e">
        <f>IF(T!$A$4&gt;=MONTH(S64),VLOOKUP(S64,'[8]Podklady MZ'!$R$2:$S$367,2,FALSE),NA())</f>
        <v>#N/A</v>
      </c>
      <c r="V64" s="178">
        <f>INDEX([5]PT!$AF$16:$AF$381,DATE(2016,MONTH(S64),DAY(S64))-DATE(2016,1,1)+1,1)</f>
        <v>0</v>
      </c>
      <c r="W64" s="178">
        <f>IF(T!$A$4&lt;MONTH(S64),VLOOKUP(S64,'[8]Podklady MZ'!$R$2:$S$367,2,FALSE),NA())</f>
        <v>32.285091855345911</v>
      </c>
    </row>
    <row r="65" spans="1:23" x14ac:dyDescent="0.2">
      <c r="D65" s="13"/>
      <c r="E65" s="71"/>
      <c r="F65" s="71"/>
      <c r="G65" s="71"/>
      <c r="S65" s="77">
        <f t="shared" si="0"/>
        <v>42068</v>
      </c>
      <c r="T65" s="78">
        <f>INDEX([12]ČR!$D$18:$D$383,DATE(2016,MONTH(S65),DAY(S65))-DATE(2016,1,1)+1,1)/1000000</f>
        <v>30.254379727024507</v>
      </c>
      <c r="U65" s="78" t="e">
        <f>IF(T!$A$4&gt;=MONTH(S65),VLOOKUP(S65,'[8]Podklady MZ'!$R$2:$S$367,2,FALSE),NA())</f>
        <v>#N/A</v>
      </c>
      <c r="V65" s="178">
        <f>INDEX([5]PT!$AF$16:$AF$381,DATE(2016,MONTH(S65),DAY(S65))-DATE(2016,1,1)+1,1)</f>
        <v>0</v>
      </c>
      <c r="W65" s="178">
        <f>IF(T!$A$4&lt;MONTH(S65),VLOOKUP(S65,'[8]Podklady MZ'!$R$2:$S$367,2,FALSE),NA())</f>
        <v>33.525023836477985</v>
      </c>
    </row>
    <row r="66" spans="1:23" x14ac:dyDescent="0.2">
      <c r="D66" s="13"/>
      <c r="E66" s="71"/>
      <c r="F66" s="71"/>
      <c r="G66" s="71"/>
      <c r="S66" s="77">
        <f t="shared" si="0"/>
        <v>42069</v>
      </c>
      <c r="T66" s="78">
        <f>INDEX([12]ČR!$D$18:$D$383,DATE(2016,MONTH(S66),DAY(S66))-DATE(2016,1,1)+1,1)/1000000</f>
        <v>30.899557070456758</v>
      </c>
      <c r="U66" s="78" t="e">
        <f>IF(T!$A$4&gt;=MONTH(S66),VLOOKUP(S66,'[8]Podklady MZ'!$R$2:$S$367,2,FALSE),NA())</f>
        <v>#N/A</v>
      </c>
      <c r="V66" s="178">
        <f>INDEX([5]PT!$AF$16:$AF$381,DATE(2016,MONTH(S66),DAY(S66))-DATE(2016,1,1)+1,1)</f>
        <v>0</v>
      </c>
      <c r="W66" s="178">
        <f>IF(T!$A$4&lt;MONTH(S66),VLOOKUP(S66,'[8]Podklady MZ'!$R$2:$S$367,2,FALSE),NA())</f>
        <v>31.256962704402515</v>
      </c>
    </row>
    <row r="67" spans="1:23" x14ac:dyDescent="0.2">
      <c r="G67" s="80"/>
      <c r="H67" s="51"/>
      <c r="I67" s="51"/>
      <c r="J67" s="51"/>
      <c r="K67" s="51"/>
      <c r="L67" s="51"/>
      <c r="M67" s="51"/>
      <c r="N67" s="51"/>
      <c r="O67" s="51"/>
      <c r="S67" s="77">
        <f t="shared" si="0"/>
        <v>42070</v>
      </c>
      <c r="T67" s="78">
        <f>INDEX([12]ČR!$D$18:$D$383,DATE(2016,MONTH(S67),DAY(S67))-DATE(2016,1,1)+1,1)/1000000</f>
        <v>28.308059275973523</v>
      </c>
      <c r="U67" s="78" t="e">
        <f>IF(T!$A$4&gt;=MONTH(S67),VLOOKUP(S67,'[8]Podklady MZ'!$R$2:$S$367,2,FALSE),NA())</f>
        <v>#N/A</v>
      </c>
      <c r="V67" s="178">
        <f>INDEX([5]PT!$AF$16:$AF$381,DATE(2016,MONTH(S67),DAY(S67))-DATE(2016,1,1)+1,1)</f>
        <v>0</v>
      </c>
      <c r="W67" s="178">
        <f>IF(T!$A$4&lt;MONTH(S67),VLOOKUP(S67,'[8]Podklady MZ'!$R$2:$S$367,2,FALSE),NA())</f>
        <v>26.704598930817607</v>
      </c>
    </row>
    <row r="68" spans="1:23" x14ac:dyDescent="0.2">
      <c r="D68" s="13"/>
      <c r="E68" s="71"/>
      <c r="F68" s="71"/>
      <c r="G68" s="71"/>
      <c r="S68" s="77">
        <f t="shared" ref="S68:S131" si="1">S67+1</f>
        <v>42071</v>
      </c>
      <c r="T68" s="78">
        <f>INDEX([12]ČR!$D$18:$D$383,DATE(2016,MONTH(S68),DAY(S68))-DATE(2016,1,1)+1,1)/1000000</f>
        <v>24.33782410442922</v>
      </c>
      <c r="U68" s="78" t="e">
        <f>IF(T!$A$4&gt;=MONTH(S68),VLOOKUP(S68,'[8]Podklady MZ'!$R$2:$S$367,2,FALSE),NA())</f>
        <v>#N/A</v>
      </c>
      <c r="V68" s="178">
        <f>INDEX([5]PT!$AF$16:$AF$381,DATE(2016,MONTH(S68),DAY(S68))-DATE(2016,1,1)+1,1)</f>
        <v>0</v>
      </c>
      <c r="W68" s="178">
        <f>IF(T!$A$4&lt;MONTH(S68),VLOOKUP(S68,'[8]Podklady MZ'!$R$2:$S$367,2,FALSE),NA())</f>
        <v>26.051285440251569</v>
      </c>
    </row>
    <row r="69" spans="1:23" x14ac:dyDescent="0.2">
      <c r="A69" s="13"/>
      <c r="B69" s="13"/>
      <c r="D69" s="13"/>
      <c r="E69" s="71"/>
      <c r="F69" s="71"/>
      <c r="G69" s="71"/>
      <c r="S69" s="77">
        <f t="shared" si="1"/>
        <v>42072</v>
      </c>
      <c r="T69" s="78">
        <f>INDEX([12]ČR!$D$18:$D$383,DATE(2016,MONTH(S69),DAY(S69))-DATE(2016,1,1)+1,1)/1000000</f>
        <v>24.660186937602599</v>
      </c>
      <c r="U69" s="78" t="e">
        <f>IF(T!$A$4&gt;=MONTH(S69),VLOOKUP(S69,'[8]Podklady MZ'!$R$2:$S$367,2,FALSE),NA())</f>
        <v>#N/A</v>
      </c>
      <c r="V69" s="178">
        <f>INDEX([5]PT!$AF$16:$AF$381,DATE(2016,MONTH(S69),DAY(S69))-DATE(2016,1,1)+1,1)</f>
        <v>0</v>
      </c>
      <c r="W69" s="178">
        <f>IF(T!$A$4&lt;MONTH(S69),VLOOKUP(S69,'[8]Podklady MZ'!$R$2:$S$367,2,FALSE),NA())</f>
        <v>29.276572044025155</v>
      </c>
    </row>
    <row r="70" spans="1:23" x14ac:dyDescent="0.2">
      <c r="D70" s="13"/>
      <c r="E70" s="71"/>
      <c r="F70" s="71"/>
      <c r="G70" s="71"/>
      <c r="S70" s="77">
        <f t="shared" si="1"/>
        <v>42073</v>
      </c>
      <c r="T70" s="78">
        <f>INDEX([12]ČR!$D$18:$D$383,DATE(2016,MONTH(S70),DAY(S70))-DATE(2016,1,1)+1,1)/1000000</f>
        <v>26.562216932931666</v>
      </c>
      <c r="U70" s="78" t="e">
        <f>IF(T!$A$4&gt;=MONTH(S70),VLOOKUP(S70,'[8]Podklady MZ'!$R$2:$S$367,2,FALSE),NA())</f>
        <v>#N/A</v>
      </c>
      <c r="V70" s="178">
        <f>INDEX([5]PT!$AF$16:$AF$381,DATE(2016,MONTH(S70),DAY(S70))-DATE(2016,1,1)+1,1)</f>
        <v>0</v>
      </c>
      <c r="W70" s="178">
        <f>IF(T!$A$4&lt;MONTH(S70),VLOOKUP(S70,'[8]Podklady MZ'!$R$2:$S$367,2,FALSE),NA())</f>
        <v>27.639506572327043</v>
      </c>
    </row>
    <row r="71" spans="1:23" x14ac:dyDescent="0.2">
      <c r="D71" s="13"/>
      <c r="E71" s="71"/>
      <c r="F71" s="71"/>
      <c r="G71" s="71"/>
      <c r="S71" s="77">
        <f t="shared" si="1"/>
        <v>42074</v>
      </c>
      <c r="T71" s="78">
        <f>INDEX([12]ČR!$D$18:$D$383,DATE(2016,MONTH(S71),DAY(S71))-DATE(2016,1,1)+1,1)/1000000</f>
        <v>25.574273232705337</v>
      </c>
      <c r="U71" s="78" t="e">
        <f>IF(T!$A$4&gt;=MONTH(S71),VLOOKUP(S71,'[8]Podklady MZ'!$R$2:$S$367,2,FALSE),NA())</f>
        <v>#N/A</v>
      </c>
      <c r="V71" s="178">
        <f>INDEX([5]PT!$AF$16:$AF$381,DATE(2016,MONTH(S71),DAY(S71))-DATE(2016,1,1)+1,1)</f>
        <v>0</v>
      </c>
      <c r="W71" s="178">
        <f>IF(T!$A$4&lt;MONTH(S71),VLOOKUP(S71,'[8]Podklady MZ'!$R$2:$S$367,2,FALSE),NA())</f>
        <v>30.736072327044024</v>
      </c>
    </row>
    <row r="72" spans="1:23" x14ac:dyDescent="0.2">
      <c r="S72" s="77">
        <f t="shared" si="1"/>
        <v>42075</v>
      </c>
      <c r="T72" s="78">
        <f>INDEX([12]ČR!$D$18:$D$383,DATE(2016,MONTH(S72),DAY(S72))-DATE(2016,1,1)+1,1)/1000000</f>
        <v>25.344286920612642</v>
      </c>
      <c r="U72" s="78" t="e">
        <f>IF(T!$A$4&gt;=MONTH(S72),VLOOKUP(S72,'[8]Podklady MZ'!$R$2:$S$367,2,FALSE),NA())</f>
        <v>#N/A</v>
      </c>
      <c r="V72" s="178">
        <f>INDEX([5]PT!$AF$16:$AF$381,DATE(2016,MONTH(S72),DAY(S72))-DATE(2016,1,1)+1,1)</f>
        <v>0</v>
      </c>
      <c r="W72" s="178">
        <f>IF(T!$A$4&lt;MONTH(S72),VLOOKUP(S72,'[8]Podklady MZ'!$R$2:$S$367,2,FALSE),NA())</f>
        <v>31.483039685534589</v>
      </c>
    </row>
    <row r="73" spans="1:23" x14ac:dyDescent="0.2">
      <c r="S73" s="77">
        <f t="shared" si="1"/>
        <v>42076</v>
      </c>
      <c r="T73" s="78">
        <f>INDEX([12]ČR!$D$18:$D$383,DATE(2016,MONTH(S73),DAY(S73))-DATE(2016,1,1)+1,1)/1000000</f>
        <v>24.545954423747514</v>
      </c>
      <c r="U73" s="78" t="e">
        <f>IF(T!$A$4&gt;=MONTH(S73),VLOOKUP(S73,'[8]Podklady MZ'!$R$2:$S$367,2,FALSE),NA())</f>
        <v>#N/A</v>
      </c>
      <c r="V73" s="178">
        <f>INDEX([5]PT!$AF$16:$AF$381,DATE(2016,MONTH(S73),DAY(S73))-DATE(2016,1,1)+1,1)</f>
        <v>0</v>
      </c>
      <c r="W73" s="178">
        <f>IF(T!$A$4&lt;MONTH(S73),VLOOKUP(S73,'[8]Podklady MZ'!$R$2:$S$367,2,FALSE),NA())</f>
        <v>31.523914874213837</v>
      </c>
    </row>
    <row r="74" spans="1:23" x14ac:dyDescent="0.2">
      <c r="S74" s="77">
        <f t="shared" si="1"/>
        <v>42077</v>
      </c>
      <c r="T74" s="78">
        <f>INDEX([12]ČR!$D$18:$D$383,DATE(2016,MONTH(S74),DAY(S74))-DATE(2016,1,1)+1,1)/1000000</f>
        <v>22.59019259581887</v>
      </c>
      <c r="U74" s="78" t="e">
        <f>IF(T!$A$4&gt;=MONTH(S74),VLOOKUP(S74,'[8]Podklady MZ'!$R$2:$S$367,2,FALSE),NA())</f>
        <v>#N/A</v>
      </c>
      <c r="V74" s="178">
        <f>INDEX([5]PT!$AF$16:$AF$381,DATE(2016,MONTH(S74),DAY(S74))-DATE(2016,1,1)+1,1)</f>
        <v>0</v>
      </c>
      <c r="W74" s="178">
        <f>IF(T!$A$4&lt;MONTH(S74),VLOOKUP(S74,'[8]Podklady MZ'!$R$2:$S$367,2,FALSE),NA())</f>
        <v>28.851615157232704</v>
      </c>
    </row>
    <row r="75" spans="1:23" x14ac:dyDescent="0.2">
      <c r="S75" s="77">
        <f t="shared" si="1"/>
        <v>42078</v>
      </c>
      <c r="T75" s="78">
        <f>INDEX([12]ČR!$D$18:$D$383,DATE(2016,MONTH(S75),DAY(S75))-DATE(2016,1,1)+1,1)/1000000</f>
        <v>23.847542653437056</v>
      </c>
      <c r="U75" s="78" t="e">
        <f>IF(T!$A$4&gt;=MONTH(S75),VLOOKUP(S75,'[8]Podklady MZ'!$R$2:$S$367,2,FALSE),NA())</f>
        <v>#N/A</v>
      </c>
      <c r="V75" s="178">
        <f>INDEX([5]PT!$AF$16:$AF$381,DATE(2016,MONTH(S75),DAY(S75))-DATE(2016,1,1)+1,1)</f>
        <v>0</v>
      </c>
      <c r="W75" s="178">
        <f>IF(T!$A$4&lt;MONTH(S75),VLOOKUP(S75,'[8]Podklady MZ'!$R$2:$S$367,2,FALSE),NA())</f>
        <v>28.216592044025155</v>
      </c>
    </row>
    <row r="76" spans="1:23" x14ac:dyDescent="0.2">
      <c r="E76" s="13"/>
      <c r="F76" s="13"/>
      <c r="G76" s="13"/>
      <c r="S76" s="77">
        <f t="shared" si="1"/>
        <v>42079</v>
      </c>
      <c r="T76" s="78">
        <f>INDEX([12]ČR!$D$18:$D$383,DATE(2016,MONTH(S76),DAY(S76))-DATE(2016,1,1)+1,1)/1000000</f>
        <v>23.956114755002901</v>
      </c>
      <c r="U76" s="78" t="e">
        <f>IF(T!$A$4&gt;=MONTH(S76),VLOOKUP(S76,'[8]Podklady MZ'!$R$2:$S$367,2,FALSE),NA())</f>
        <v>#N/A</v>
      </c>
      <c r="V76" s="178">
        <f>INDEX([5]PT!$AF$16:$AF$381,DATE(2016,MONTH(S76),DAY(S76))-DATE(2016,1,1)+1,1)</f>
        <v>0</v>
      </c>
      <c r="W76" s="178">
        <f>IF(T!$A$4&lt;MONTH(S76),VLOOKUP(S76,'[8]Podklady MZ'!$R$2:$S$367,2,FALSE),NA())</f>
        <v>28.050054308176101</v>
      </c>
    </row>
    <row r="77" spans="1:23" x14ac:dyDescent="0.2">
      <c r="D77" s="13"/>
      <c r="E77" s="71"/>
      <c r="F77" s="71"/>
      <c r="G77" s="71"/>
      <c r="S77" s="77">
        <f t="shared" si="1"/>
        <v>42080</v>
      </c>
      <c r="T77" s="78">
        <f>INDEX([12]ČR!$D$18:$D$383,DATE(2016,MONTH(S77),DAY(S77))-DATE(2016,1,1)+1,1)/1000000</f>
        <v>25.065700199484379</v>
      </c>
      <c r="U77" s="78" t="e">
        <f>IF(T!$A$4&gt;=MONTH(S77),VLOOKUP(S77,'[8]Podklady MZ'!$R$2:$S$367,2,FALSE),NA())</f>
        <v>#N/A</v>
      </c>
      <c r="V77" s="178">
        <f>INDEX([5]PT!$AF$16:$AF$381,DATE(2016,MONTH(S77),DAY(S77))-DATE(2016,1,1)+1,1)</f>
        <v>0</v>
      </c>
      <c r="W77" s="178">
        <f>IF(T!$A$4&lt;MONTH(S77),VLOOKUP(S77,'[8]Podklady MZ'!$R$2:$S$367,2,FALSE),NA())</f>
        <v>25.987035440251571</v>
      </c>
    </row>
    <row r="78" spans="1:23" x14ac:dyDescent="0.2">
      <c r="S78" s="77">
        <f t="shared" si="1"/>
        <v>42081</v>
      </c>
      <c r="T78" s="78">
        <f>INDEX([12]ČR!$D$18:$D$383,DATE(2016,MONTH(S78),DAY(S78))-DATE(2016,1,1)+1,1)/1000000</f>
        <v>22.511141909055233</v>
      </c>
      <c r="U78" s="78" t="e">
        <f>IF(T!$A$4&gt;=MONTH(S78),VLOOKUP(S78,'[8]Podklady MZ'!$R$2:$S$367,2,FALSE),NA())</f>
        <v>#N/A</v>
      </c>
      <c r="V78" s="178">
        <f>INDEX([5]PT!$AF$16:$AF$381,DATE(2016,MONTH(S78),DAY(S78))-DATE(2016,1,1)+1,1)</f>
        <v>0</v>
      </c>
      <c r="W78" s="178">
        <f>IF(T!$A$4&lt;MONTH(S78),VLOOKUP(S78,'[8]Podklady MZ'!$R$2:$S$367,2,FALSE),NA())</f>
        <v>26.187643081761006</v>
      </c>
    </row>
    <row r="79" spans="1:23" x14ac:dyDescent="0.2">
      <c r="S79" s="77">
        <f t="shared" si="1"/>
        <v>42082</v>
      </c>
      <c r="T79" s="78">
        <f>INDEX([12]ČR!$D$18:$D$383,DATE(2016,MONTH(S79),DAY(S79))-DATE(2016,1,1)+1,1)/1000000</f>
        <v>24.370961695726791</v>
      </c>
      <c r="U79" s="78" t="e">
        <f>IF(T!$A$4&gt;=MONTH(S79),VLOOKUP(S79,'[8]Podklady MZ'!$R$2:$S$367,2,FALSE),NA())</f>
        <v>#N/A</v>
      </c>
      <c r="V79" s="178">
        <f>INDEX([5]PT!$AF$16:$AF$381,DATE(2016,MONTH(S79),DAY(S79))-DATE(2016,1,1)+1,1)</f>
        <v>0</v>
      </c>
      <c r="W79" s="178">
        <f>IF(T!$A$4&lt;MONTH(S79),VLOOKUP(S79,'[8]Podklady MZ'!$R$2:$S$367,2,FALSE),NA())</f>
        <v>26.922527327044026</v>
      </c>
    </row>
    <row r="80" spans="1:23" x14ac:dyDescent="0.2">
      <c r="S80" s="77">
        <f t="shared" si="1"/>
        <v>42083</v>
      </c>
      <c r="T80" s="78">
        <f>INDEX([12]ČR!$D$18:$D$383,DATE(2016,MONTH(S80),DAY(S80))-DATE(2016,1,1)+1,1)/1000000</f>
        <v>20.078517049785525</v>
      </c>
      <c r="U80" s="78" t="e">
        <f>IF(T!$A$4&gt;=MONTH(S80),VLOOKUP(S80,'[8]Podklady MZ'!$R$2:$S$367,2,FALSE),NA())</f>
        <v>#N/A</v>
      </c>
      <c r="V80" s="178">
        <f>INDEX([5]PT!$AF$16:$AF$381,DATE(2016,MONTH(S80),DAY(S80))-DATE(2016,1,1)+1,1)</f>
        <v>0</v>
      </c>
      <c r="W80" s="178">
        <f>IF(T!$A$4&lt;MONTH(S80),VLOOKUP(S80,'[8]Podklady MZ'!$R$2:$S$367,2,FALSE),NA())</f>
        <v>26.551015723270439</v>
      </c>
    </row>
    <row r="81" spans="19:23" x14ac:dyDescent="0.2">
      <c r="S81" s="77">
        <f t="shared" si="1"/>
        <v>42084</v>
      </c>
      <c r="T81" s="78">
        <f>INDEX([12]ČR!$D$18:$D$383,DATE(2016,MONTH(S81),DAY(S81))-DATE(2016,1,1)+1,1)/1000000</f>
        <v>17.453166014873293</v>
      </c>
      <c r="U81" s="78" t="e">
        <f>IF(T!$A$4&gt;=MONTH(S81),VLOOKUP(S81,'[8]Podklady MZ'!$R$2:$S$367,2,FALSE),NA())</f>
        <v>#N/A</v>
      </c>
      <c r="V81" s="178">
        <f>INDEX([5]PT!$AF$16:$AF$381,DATE(2016,MONTH(S81),DAY(S81))-DATE(2016,1,1)+1,1)</f>
        <v>0</v>
      </c>
      <c r="W81" s="178">
        <f>IF(T!$A$4&lt;MONTH(S81),VLOOKUP(S81,'[8]Podklady MZ'!$R$2:$S$367,2,FALSE),NA())</f>
        <v>22.79059044025157</v>
      </c>
    </row>
    <row r="82" spans="19:23" x14ac:dyDescent="0.2">
      <c r="S82" s="77">
        <f t="shared" si="1"/>
        <v>42085</v>
      </c>
      <c r="T82" s="78">
        <f>INDEX([12]ČR!$D$18:$D$383,DATE(2016,MONTH(S82),DAY(S82))-DATE(2016,1,1)+1,1)/1000000</f>
        <v>15.233368138291082</v>
      </c>
      <c r="U82" s="78" t="e">
        <f>IF(T!$A$4&gt;=MONTH(S82),VLOOKUP(S82,'[8]Podklady MZ'!$R$2:$S$367,2,FALSE),NA())</f>
        <v>#N/A</v>
      </c>
      <c r="V82" s="178">
        <f>INDEX([5]PT!$AF$16:$AF$381,DATE(2016,MONTH(S82),DAY(S82))-DATE(2016,1,1)+1,1)</f>
        <v>0</v>
      </c>
      <c r="W82" s="178">
        <f>IF(T!$A$4&lt;MONTH(S82),VLOOKUP(S82,'[8]Podklady MZ'!$R$2:$S$367,2,FALSE),NA())</f>
        <v>27.278467044025156</v>
      </c>
    </row>
    <row r="83" spans="19:23" x14ac:dyDescent="0.2">
      <c r="S83" s="77">
        <f t="shared" si="1"/>
        <v>42086</v>
      </c>
      <c r="T83" s="78">
        <f>INDEX([12]ČR!$D$18:$D$383,DATE(2016,MONTH(S83),DAY(S83))-DATE(2016,1,1)+1,1)/1000000</f>
        <v>20.936694638516901</v>
      </c>
      <c r="U83" s="78" t="e">
        <f>IF(T!$A$4&gt;=MONTH(S83),VLOOKUP(S83,'[8]Podklady MZ'!$R$2:$S$367,2,FALSE),NA())</f>
        <v>#N/A</v>
      </c>
      <c r="V83" s="178">
        <f>INDEX([5]PT!$AF$16:$AF$381,DATE(2016,MONTH(S83),DAY(S83))-DATE(2016,1,1)+1,1)</f>
        <v>0</v>
      </c>
      <c r="W83" s="178">
        <f>IF(T!$A$4&lt;MONTH(S83),VLOOKUP(S83,'[8]Podklady MZ'!$R$2:$S$367,2,FALSE),NA())</f>
        <v>28.337994779874212</v>
      </c>
    </row>
    <row r="84" spans="19:23" x14ac:dyDescent="0.2">
      <c r="S84" s="77">
        <f t="shared" si="1"/>
        <v>42087</v>
      </c>
      <c r="T84" s="78">
        <f>INDEX([12]ČR!$D$18:$D$383,DATE(2016,MONTH(S84),DAY(S84))-DATE(2016,1,1)+1,1)/1000000</f>
        <v>26.456047238237613</v>
      </c>
      <c r="U84" s="78" t="e">
        <f>IF(T!$A$4&gt;=MONTH(S84),VLOOKUP(S84,'[8]Podklady MZ'!$R$2:$S$367,2,FALSE),NA())</f>
        <v>#N/A</v>
      </c>
      <c r="V84" s="178">
        <f>INDEX([5]PT!$AF$16:$AF$381,DATE(2016,MONTH(S84),DAY(S84))-DATE(2016,1,1)+1,1)</f>
        <v>0</v>
      </c>
      <c r="W84" s="178">
        <f>IF(T!$A$4&lt;MONTH(S84),VLOOKUP(S84,'[8]Podklady MZ'!$R$2:$S$367,2,FALSE),NA())</f>
        <v>25.833110723270437</v>
      </c>
    </row>
    <row r="85" spans="19:23" x14ac:dyDescent="0.2">
      <c r="S85" s="77">
        <f t="shared" si="1"/>
        <v>42088</v>
      </c>
      <c r="T85" s="78">
        <f>INDEX([12]ČR!$D$18:$D$383,DATE(2016,MONTH(S85),DAY(S85))-DATE(2016,1,1)+1,1)/1000000</f>
        <v>26.817220206434342</v>
      </c>
      <c r="U85" s="78" t="e">
        <f>IF(T!$A$4&gt;=MONTH(S85),VLOOKUP(S85,'[8]Podklady MZ'!$R$2:$S$367,2,FALSE),NA())</f>
        <v>#N/A</v>
      </c>
      <c r="V85" s="178">
        <f>INDEX([5]PT!$AF$16:$AF$381,DATE(2016,MONTH(S85),DAY(S85))-DATE(2016,1,1)+1,1)</f>
        <v>0</v>
      </c>
      <c r="W85" s="178">
        <f>IF(T!$A$4&lt;MONTH(S85),VLOOKUP(S85,'[8]Podklady MZ'!$R$2:$S$367,2,FALSE),NA())</f>
        <v>22.730063270440251</v>
      </c>
    </row>
    <row r="86" spans="19:23" x14ac:dyDescent="0.2">
      <c r="S86" s="77">
        <f t="shared" si="1"/>
        <v>42089</v>
      </c>
      <c r="T86" s="78">
        <f>INDEX([12]ČR!$D$18:$D$383,DATE(2016,MONTH(S86),DAY(S86))-DATE(2016,1,1)+1,1)/1000000</f>
        <v>25.921574714853516</v>
      </c>
      <c r="U86" s="78" t="e">
        <f>IF(T!$A$4&gt;=MONTH(S86),VLOOKUP(S86,'[8]Podklady MZ'!$R$2:$S$367,2,FALSE),NA())</f>
        <v>#N/A</v>
      </c>
      <c r="V86" s="178">
        <f>INDEX([5]PT!$AF$16:$AF$381,DATE(2016,MONTH(S86),DAY(S86))-DATE(2016,1,1)+1,1)</f>
        <v>0</v>
      </c>
      <c r="W86" s="178">
        <f>IF(T!$A$4&lt;MONTH(S86),VLOOKUP(S86,'[8]Podklady MZ'!$R$2:$S$367,2,FALSE),NA())</f>
        <v>22.593935911949682</v>
      </c>
    </row>
    <row r="87" spans="19:23" x14ac:dyDescent="0.2">
      <c r="S87" s="77">
        <f t="shared" si="1"/>
        <v>42090</v>
      </c>
      <c r="T87" s="78">
        <f>INDEX([12]ČR!$D$18:$D$383,DATE(2016,MONTH(S87),DAY(S87))-DATE(2016,1,1)+1,1)/1000000</f>
        <v>23.174491647715868</v>
      </c>
      <c r="U87" s="78" t="e">
        <f>IF(T!$A$4&gt;=MONTH(S87),VLOOKUP(S87,'[8]Podklady MZ'!$R$2:$S$367,2,FALSE),NA())</f>
        <v>#N/A</v>
      </c>
      <c r="V87" s="178">
        <f>INDEX([5]PT!$AF$16:$AF$381,DATE(2016,MONTH(S87),DAY(S87))-DATE(2016,1,1)+1,1)</f>
        <v>0</v>
      </c>
      <c r="W87" s="178">
        <f>IF(T!$A$4&lt;MONTH(S87),VLOOKUP(S87,'[8]Podklady MZ'!$R$2:$S$367,2,FALSE),NA())</f>
        <v>24.635889591194967</v>
      </c>
    </row>
    <row r="88" spans="19:23" x14ac:dyDescent="0.2">
      <c r="S88" s="77">
        <f t="shared" si="1"/>
        <v>42091</v>
      </c>
      <c r="T88" s="78">
        <f>INDEX([12]ČR!$D$18:$D$383,DATE(2016,MONTH(S88),DAY(S88))-DATE(2016,1,1)+1,1)/1000000</f>
        <v>21.959607500542024</v>
      </c>
      <c r="U88" s="78" t="e">
        <f>IF(T!$A$4&gt;=MONTH(S88),VLOOKUP(S88,'[8]Podklady MZ'!$R$2:$S$367,2,FALSE),NA())</f>
        <v>#N/A</v>
      </c>
      <c r="V88" s="178">
        <f>INDEX([5]PT!$AF$16:$AF$381,DATE(2016,MONTH(S88),DAY(S88))-DATE(2016,1,1)+1,1)</f>
        <v>0</v>
      </c>
      <c r="W88" s="178">
        <f>IF(T!$A$4&lt;MONTH(S88),VLOOKUP(S88,'[8]Podklady MZ'!$R$2:$S$367,2,FALSE),NA())</f>
        <v>22.183712893081761</v>
      </c>
    </row>
    <row r="89" spans="19:23" x14ac:dyDescent="0.2">
      <c r="S89" s="77">
        <f t="shared" si="1"/>
        <v>42092</v>
      </c>
      <c r="T89" s="78">
        <f>INDEX([12]ČR!$D$18:$D$383,DATE(2016,MONTH(S89),DAY(S89))-DATE(2016,1,1)+1,1)/1000000</f>
        <v>17.409087975599434</v>
      </c>
      <c r="U89" s="78" t="e">
        <f>IF(T!$A$4&gt;=MONTH(S89),VLOOKUP(S89,'[8]Podklady MZ'!$R$2:$S$367,2,FALSE),NA())</f>
        <v>#N/A</v>
      </c>
      <c r="V89" s="178">
        <f>INDEX([5]PT!$AF$16:$AF$381,DATE(2016,MONTH(S89),DAY(S89))-DATE(2016,1,1)+1,1)</f>
        <v>0</v>
      </c>
      <c r="W89" s="178">
        <f>IF(T!$A$4&lt;MONTH(S89),VLOOKUP(S89,'[8]Podklady MZ'!$R$2:$S$367,2,FALSE),NA())</f>
        <v>23.4280463836478</v>
      </c>
    </row>
    <row r="90" spans="19:23" x14ac:dyDescent="0.2">
      <c r="S90" s="77">
        <f t="shared" si="1"/>
        <v>42093</v>
      </c>
      <c r="T90" s="78">
        <f>INDEX([12]ČR!$D$18:$D$383,DATE(2016,MONTH(S90),DAY(S90))-DATE(2016,1,1)+1,1)/1000000</f>
        <v>17.2534749707158</v>
      </c>
      <c r="U90" s="78" t="e">
        <f>IF(T!$A$4&gt;=MONTH(S90),VLOOKUP(S90,'[8]Podklady MZ'!$R$2:$S$367,2,FALSE),NA())</f>
        <v>#N/A</v>
      </c>
      <c r="V90" s="178">
        <f>INDEX([5]PT!$AF$16:$AF$381,DATE(2016,MONTH(S90),DAY(S90))-DATE(2016,1,1)+1,1)</f>
        <v>0</v>
      </c>
      <c r="W90" s="178">
        <f>IF(T!$A$4&lt;MONTH(S90),VLOOKUP(S90,'[8]Podklady MZ'!$R$2:$S$367,2,FALSE),NA())</f>
        <v>27.048788176100626</v>
      </c>
    </row>
    <row r="91" spans="19:23" x14ac:dyDescent="0.2">
      <c r="S91" s="77">
        <f t="shared" si="1"/>
        <v>42094</v>
      </c>
      <c r="T91" s="78">
        <f>INDEX([12]ČR!$D$18:$D$383,DATE(2016,MONTH(S91),DAY(S91))-DATE(2016,1,1)+1,1)/1000000</f>
        <v>22.417243839928457</v>
      </c>
      <c r="U91" s="78" t="e">
        <f>IF(T!$A$4&gt;=MONTH(S91),VLOOKUP(S91,'[8]Podklady MZ'!$R$2:$S$367,2,FALSE),NA())</f>
        <v>#N/A</v>
      </c>
      <c r="V91" s="178">
        <f>INDEX([5]PT!$AF$16:$AF$381,DATE(2016,MONTH(S91),DAY(S91))-DATE(2016,1,1)+1,1)</f>
        <v>0</v>
      </c>
      <c r="W91" s="178">
        <f>IF(T!$A$4&lt;MONTH(S91),VLOOKUP(S91,'[8]Podklady MZ'!$R$2:$S$367,2,FALSE),NA())</f>
        <v>28.941355157232707</v>
      </c>
    </row>
    <row r="92" spans="19:23" x14ac:dyDescent="0.2">
      <c r="S92" s="77">
        <f t="shared" si="1"/>
        <v>42095</v>
      </c>
      <c r="T92" s="78">
        <f>INDEX([12]ČR!$D$18:$D$383,DATE(2016,MONTH(S92),DAY(S92))-DATE(2016,1,1)+1,1)/1000000</f>
        <v>19.912844636720571</v>
      </c>
      <c r="U92" s="78" t="e">
        <f>IF(T!$A$4&gt;=MONTH(S92),VLOOKUP(S92,'[8]Podklady MZ'!$R$2:$S$367,2,FALSE),NA())</f>
        <v>#N/A</v>
      </c>
      <c r="V92" s="178">
        <f>INDEX([5]PT!$AF$16:$AF$381,DATE(2016,MONTH(S92),DAY(S92))-DATE(2016,1,1)+1,1)</f>
        <v>0</v>
      </c>
      <c r="W92" s="178">
        <f>IF(T!$A$4&lt;MONTH(S92),VLOOKUP(S92,'[8]Podklady MZ'!$R$2:$S$367,2,FALSE),NA())</f>
        <v>21</v>
      </c>
    </row>
    <row r="93" spans="19:23" x14ac:dyDescent="0.2">
      <c r="S93" s="77">
        <f t="shared" si="1"/>
        <v>42096</v>
      </c>
      <c r="T93" s="78">
        <f>INDEX([12]ČR!$D$18:$D$383,DATE(2016,MONTH(S93),DAY(S93))-DATE(2016,1,1)+1,1)/1000000</f>
        <v>18.678675095415521</v>
      </c>
      <c r="U93" s="78" t="e">
        <f>IF(T!$A$4&gt;=MONTH(S93),VLOOKUP(S93,'[8]Podklady MZ'!$R$2:$S$367,2,FALSE),NA())</f>
        <v>#N/A</v>
      </c>
      <c r="V93" s="178">
        <f>INDEX([5]PT!$AF$16:$AF$381,DATE(2016,MONTH(S93),DAY(S93))-DATE(2016,1,1)+1,1)</f>
        <v>0</v>
      </c>
      <c r="W93" s="178">
        <f>IF(T!$A$4&lt;MONTH(S93),VLOOKUP(S93,'[8]Podklady MZ'!$R$2:$S$367,2,FALSE),NA())</f>
        <v>21</v>
      </c>
    </row>
    <row r="94" spans="19:23" x14ac:dyDescent="0.2">
      <c r="S94" s="77">
        <f t="shared" si="1"/>
        <v>42097</v>
      </c>
      <c r="T94" s="78">
        <f>INDEX([12]ČR!$D$18:$D$383,DATE(2016,MONTH(S94),DAY(S94))-DATE(2016,1,1)+1,1)/1000000</f>
        <v>18.85328570666216</v>
      </c>
      <c r="U94" s="78" t="e">
        <f>IF(T!$A$4&gt;=MONTH(S94),VLOOKUP(S94,'[8]Podklady MZ'!$R$2:$S$367,2,FALSE),NA())</f>
        <v>#N/A</v>
      </c>
      <c r="V94" s="178">
        <f>INDEX([5]PT!$AF$16:$AF$381,DATE(2016,MONTH(S94),DAY(S94))-DATE(2016,1,1)+1,1)</f>
        <v>0</v>
      </c>
      <c r="W94" s="178">
        <f>IF(T!$A$4&lt;MONTH(S94),VLOOKUP(S94,'[8]Podklady MZ'!$R$2:$S$367,2,FALSE),NA())</f>
        <v>21</v>
      </c>
    </row>
    <row r="95" spans="19:23" x14ac:dyDescent="0.2">
      <c r="S95" s="77">
        <f t="shared" si="1"/>
        <v>42098</v>
      </c>
      <c r="T95" s="78">
        <f>INDEX([12]ČR!$D$18:$D$383,DATE(2016,MONTH(S95),DAY(S95))-DATE(2016,1,1)+1,1)/1000000</f>
        <v>16.457363285482895</v>
      </c>
      <c r="U95" s="78" t="e">
        <f>IF(T!$A$4&gt;=MONTH(S95),VLOOKUP(S95,'[8]Podklady MZ'!$R$2:$S$367,2,FALSE),NA())</f>
        <v>#N/A</v>
      </c>
      <c r="V95" s="178">
        <f>INDEX([5]PT!$AF$16:$AF$381,DATE(2016,MONTH(S95),DAY(S95))-DATE(2016,1,1)+1,1)</f>
        <v>0</v>
      </c>
      <c r="W95" s="178">
        <f>IF(T!$A$4&lt;MONTH(S95),VLOOKUP(S95,'[8]Podklady MZ'!$R$2:$S$367,2,FALSE),NA())</f>
        <v>21</v>
      </c>
    </row>
    <row r="96" spans="19:23" x14ac:dyDescent="0.2">
      <c r="S96" s="77">
        <f t="shared" si="1"/>
        <v>42099</v>
      </c>
      <c r="T96" s="78">
        <f>INDEX([12]ČR!$D$18:$D$383,DATE(2016,MONTH(S96),DAY(S96))-DATE(2016,1,1)+1,1)/1000000</f>
        <v>15.742495912198221</v>
      </c>
      <c r="U96" s="78" t="e">
        <f>IF(T!$A$4&gt;=MONTH(S96),VLOOKUP(S96,'[8]Podklady MZ'!$R$2:$S$367,2,FALSE),NA())</f>
        <v>#N/A</v>
      </c>
      <c r="V96" s="178">
        <f>INDEX([5]PT!$AF$16:$AF$381,DATE(2016,MONTH(S96),DAY(S96))-DATE(2016,1,1)+1,1)</f>
        <v>0</v>
      </c>
      <c r="W96" s="178">
        <f>IF(T!$A$4&lt;MONTH(S96),VLOOKUP(S96,'[8]Podklady MZ'!$R$2:$S$367,2,FALSE),NA())</f>
        <v>21</v>
      </c>
    </row>
    <row r="97" spans="19:23" x14ac:dyDescent="0.2">
      <c r="S97" s="77">
        <f t="shared" si="1"/>
        <v>42100</v>
      </c>
      <c r="T97" s="78">
        <f>INDEX([12]ČR!$D$18:$D$383,DATE(2016,MONTH(S97),DAY(S97))-DATE(2016,1,1)+1,1)/1000000</f>
        <v>16.45697769577739</v>
      </c>
      <c r="U97" s="78" t="e">
        <f>IF(T!$A$4&gt;=MONTH(S97),VLOOKUP(S97,'[8]Podklady MZ'!$R$2:$S$367,2,FALSE),NA())</f>
        <v>#N/A</v>
      </c>
      <c r="V97" s="178">
        <f>INDEX([5]PT!$AF$16:$AF$381,DATE(2016,MONTH(S97),DAY(S97))-DATE(2016,1,1)+1,1)</f>
        <v>0</v>
      </c>
      <c r="W97" s="178">
        <f>IF(T!$A$4&lt;MONTH(S97),VLOOKUP(S97,'[8]Podklady MZ'!$R$2:$S$367,2,FALSE),NA())</f>
        <v>21</v>
      </c>
    </row>
    <row r="98" spans="19:23" x14ac:dyDescent="0.2">
      <c r="S98" s="77">
        <f t="shared" si="1"/>
        <v>42101</v>
      </c>
      <c r="T98" s="78">
        <f>INDEX([12]ČR!$D$18:$D$383,DATE(2016,MONTH(S98),DAY(S98))-DATE(2016,1,1)+1,1)/1000000</f>
        <v>17.069519037856956</v>
      </c>
      <c r="U98" s="78" t="e">
        <f>IF(T!$A$4&gt;=MONTH(S98),VLOOKUP(S98,'[8]Podklady MZ'!$R$2:$S$367,2,FALSE),NA())</f>
        <v>#N/A</v>
      </c>
      <c r="V98" s="178">
        <f>INDEX([5]PT!$AF$16:$AF$381,DATE(2016,MONTH(S98),DAY(S98))-DATE(2016,1,1)+1,1)</f>
        <v>0</v>
      </c>
      <c r="W98" s="178">
        <f>IF(T!$A$4&lt;MONTH(S98),VLOOKUP(S98,'[8]Podklady MZ'!$R$2:$S$367,2,FALSE),NA())</f>
        <v>21</v>
      </c>
    </row>
    <row r="99" spans="19:23" x14ac:dyDescent="0.2">
      <c r="S99" s="77">
        <f t="shared" si="1"/>
        <v>42102</v>
      </c>
      <c r="T99" s="78">
        <f>INDEX([12]ČR!$D$18:$D$383,DATE(2016,MONTH(S99),DAY(S99))-DATE(2016,1,1)+1,1)/1000000</f>
        <v>17.278928058494266</v>
      </c>
      <c r="U99" s="78" t="e">
        <f>IF(T!$A$4&gt;=MONTH(S99),VLOOKUP(S99,'[8]Podklady MZ'!$R$2:$S$367,2,FALSE),NA())</f>
        <v>#N/A</v>
      </c>
      <c r="V99" s="178">
        <f>INDEX([5]PT!$AF$16:$AF$381,DATE(2016,MONTH(S99),DAY(S99))-DATE(2016,1,1)+1,1)</f>
        <v>0</v>
      </c>
      <c r="W99" s="178">
        <f>IF(T!$A$4&lt;MONTH(S99),VLOOKUP(S99,'[8]Podklady MZ'!$R$2:$S$367,2,FALSE),NA())</f>
        <v>21</v>
      </c>
    </row>
    <row r="100" spans="19:23" x14ac:dyDescent="0.2">
      <c r="S100" s="77">
        <f t="shared" si="1"/>
        <v>42103</v>
      </c>
      <c r="T100" s="78">
        <f>INDEX([12]ČR!$D$18:$D$383,DATE(2016,MONTH(S100),DAY(S100))-DATE(2016,1,1)+1,1)/1000000</f>
        <v>20.990001838682609</v>
      </c>
      <c r="U100" s="78" t="e">
        <f>IF(T!$A$4&gt;=MONTH(S100),VLOOKUP(S100,'[8]Podklady MZ'!$R$2:$S$367,2,FALSE),NA())</f>
        <v>#N/A</v>
      </c>
      <c r="V100" s="178">
        <f>INDEX([5]PT!$AF$16:$AF$381,DATE(2016,MONTH(S100),DAY(S100))-DATE(2016,1,1)+1,1)</f>
        <v>0</v>
      </c>
      <c r="W100" s="178">
        <f>IF(T!$A$4&lt;MONTH(S100),VLOOKUP(S100,'[8]Podklady MZ'!$R$2:$S$367,2,FALSE),NA())</f>
        <v>21</v>
      </c>
    </row>
    <row r="101" spans="19:23" x14ac:dyDescent="0.2">
      <c r="S101" s="77">
        <f t="shared" si="1"/>
        <v>42104</v>
      </c>
      <c r="T101" s="78">
        <f>INDEX([12]ČR!$D$18:$D$383,DATE(2016,MONTH(S101),DAY(S101))-DATE(2016,1,1)+1,1)/1000000</f>
        <v>22.603656190404163</v>
      </c>
      <c r="U101" s="78" t="e">
        <f>IF(T!$A$4&gt;=MONTH(S101),VLOOKUP(S101,'[8]Podklady MZ'!$R$2:$S$367,2,FALSE),NA())</f>
        <v>#N/A</v>
      </c>
      <c r="V101" s="178">
        <f>INDEX([5]PT!$AF$16:$AF$381,DATE(2016,MONTH(S101),DAY(S101))-DATE(2016,1,1)+1,1)</f>
        <v>0</v>
      </c>
      <c r="W101" s="178">
        <f>IF(T!$A$4&lt;MONTH(S101),VLOOKUP(S101,'[8]Podklady MZ'!$R$2:$S$367,2,FALSE),NA())</f>
        <v>21</v>
      </c>
    </row>
    <row r="102" spans="19:23" x14ac:dyDescent="0.2">
      <c r="S102" s="77">
        <f t="shared" si="1"/>
        <v>42105</v>
      </c>
      <c r="T102" s="78">
        <f>INDEX([12]ČR!$D$18:$D$383,DATE(2016,MONTH(S102),DAY(S102))-DATE(2016,1,1)+1,1)/1000000</f>
        <v>20.575423070008743</v>
      </c>
      <c r="U102" s="78" t="e">
        <f>IF(T!$A$4&gt;=MONTH(S102),VLOOKUP(S102,'[8]Podklady MZ'!$R$2:$S$367,2,FALSE),NA())</f>
        <v>#N/A</v>
      </c>
      <c r="V102" s="178">
        <f>INDEX([5]PT!$AF$16:$AF$381,DATE(2016,MONTH(S102),DAY(S102))-DATE(2016,1,1)+1,1)</f>
        <v>0</v>
      </c>
      <c r="W102" s="178">
        <f>IF(T!$A$4&lt;MONTH(S102),VLOOKUP(S102,'[8]Podklady MZ'!$R$2:$S$367,2,FALSE),NA())</f>
        <v>21</v>
      </c>
    </row>
    <row r="103" spans="19:23" x14ac:dyDescent="0.2">
      <c r="S103" s="77">
        <f t="shared" si="1"/>
        <v>42106</v>
      </c>
      <c r="T103" s="78">
        <f>INDEX([12]ČR!$D$18:$D$383,DATE(2016,MONTH(S103),DAY(S103))-DATE(2016,1,1)+1,1)/1000000</f>
        <v>16.912020513000446</v>
      </c>
      <c r="U103" s="78" t="e">
        <f>IF(T!$A$4&gt;=MONTH(S103),VLOOKUP(S103,'[8]Podklady MZ'!$R$2:$S$367,2,FALSE),NA())</f>
        <v>#N/A</v>
      </c>
      <c r="V103" s="178">
        <f>INDEX([5]PT!$AF$16:$AF$381,DATE(2016,MONTH(S103),DAY(S103))-DATE(2016,1,1)+1,1)</f>
        <v>0</v>
      </c>
      <c r="W103" s="178">
        <f>IF(T!$A$4&lt;MONTH(S103),VLOOKUP(S103,'[8]Podklady MZ'!$R$2:$S$367,2,FALSE),NA())</f>
        <v>21</v>
      </c>
    </row>
    <row r="104" spans="19:23" x14ac:dyDescent="0.2">
      <c r="S104" s="77">
        <f t="shared" si="1"/>
        <v>42107</v>
      </c>
      <c r="T104" s="78">
        <f>INDEX([12]ČR!$D$18:$D$383,DATE(2016,MONTH(S104),DAY(S104))-DATE(2016,1,1)+1,1)/1000000</f>
        <v>18.28948705386</v>
      </c>
      <c r="U104" s="78" t="e">
        <f>IF(T!$A$4&gt;=MONTH(S104),VLOOKUP(S104,'[8]Podklady MZ'!$R$2:$S$367,2,FALSE),NA())</f>
        <v>#N/A</v>
      </c>
      <c r="V104" s="178">
        <f>INDEX([5]PT!$AF$16:$AF$381,DATE(2016,MONTH(S104),DAY(S104))-DATE(2016,1,1)+1,1)</f>
        <v>0</v>
      </c>
      <c r="W104" s="178">
        <f>IF(T!$A$4&lt;MONTH(S104),VLOOKUP(S104,'[8]Podklady MZ'!$R$2:$S$367,2,FALSE),NA())</f>
        <v>21</v>
      </c>
    </row>
    <row r="105" spans="19:23" x14ac:dyDescent="0.2">
      <c r="S105" s="77">
        <f t="shared" si="1"/>
        <v>42108</v>
      </c>
      <c r="T105" s="78">
        <f>INDEX([12]ČR!$D$18:$D$383,DATE(2016,MONTH(S105),DAY(S105))-DATE(2016,1,1)+1,1)/1000000</f>
        <v>23.767277346728736</v>
      </c>
      <c r="U105" s="78" t="e">
        <f>IF(T!$A$4&gt;=MONTH(S105),VLOOKUP(S105,'[8]Podklady MZ'!$R$2:$S$367,2,FALSE),NA())</f>
        <v>#N/A</v>
      </c>
      <c r="V105" s="178">
        <f>INDEX([5]PT!$AF$16:$AF$381,DATE(2016,MONTH(S105),DAY(S105))-DATE(2016,1,1)+1,1)</f>
        <v>0</v>
      </c>
      <c r="W105" s="178">
        <f>IF(T!$A$4&lt;MONTH(S105),VLOOKUP(S105,'[8]Podklady MZ'!$R$2:$S$367,2,FALSE),NA())</f>
        <v>21</v>
      </c>
    </row>
    <row r="106" spans="19:23" x14ac:dyDescent="0.2">
      <c r="S106" s="77">
        <f t="shared" si="1"/>
        <v>42109</v>
      </c>
      <c r="T106" s="78">
        <f>INDEX([12]ČR!$D$18:$D$383,DATE(2016,MONTH(S106),DAY(S106))-DATE(2016,1,1)+1,1)/1000000</f>
        <v>26.463980480444253</v>
      </c>
      <c r="U106" s="78" t="e">
        <f>IF(T!$A$4&gt;=MONTH(S106),VLOOKUP(S106,'[8]Podklady MZ'!$R$2:$S$367,2,FALSE),NA())</f>
        <v>#N/A</v>
      </c>
      <c r="V106" s="178">
        <f>INDEX([5]PT!$AF$16:$AF$381,DATE(2016,MONTH(S106),DAY(S106))-DATE(2016,1,1)+1,1)</f>
        <v>0</v>
      </c>
      <c r="W106" s="178">
        <f>IF(T!$A$4&lt;MONTH(S106),VLOOKUP(S106,'[8]Podklady MZ'!$R$2:$S$367,2,FALSE),NA())</f>
        <v>21</v>
      </c>
    </row>
    <row r="107" spans="19:23" x14ac:dyDescent="0.2">
      <c r="S107" s="77">
        <f t="shared" si="1"/>
        <v>42110</v>
      </c>
      <c r="T107" s="78">
        <f>INDEX([12]ČR!$D$18:$D$383,DATE(2016,MONTH(S107),DAY(S107))-DATE(2016,1,1)+1,1)/1000000</f>
        <v>25.755912410571373</v>
      </c>
      <c r="U107" s="78" t="e">
        <f>IF(T!$A$4&gt;=MONTH(S107),VLOOKUP(S107,'[8]Podklady MZ'!$R$2:$S$367,2,FALSE),NA())</f>
        <v>#N/A</v>
      </c>
      <c r="V107" s="178">
        <f>INDEX([5]PT!$AF$16:$AF$381,DATE(2016,MONTH(S107),DAY(S107))-DATE(2016,1,1)+1,1)</f>
        <v>0</v>
      </c>
      <c r="W107" s="178">
        <f>IF(T!$A$4&lt;MONTH(S107),VLOOKUP(S107,'[8]Podklady MZ'!$R$2:$S$367,2,FALSE),NA())</f>
        <v>21</v>
      </c>
    </row>
    <row r="108" spans="19:23" x14ac:dyDescent="0.2">
      <c r="S108" s="77">
        <f t="shared" si="1"/>
        <v>42111</v>
      </c>
      <c r="T108" s="78">
        <f>INDEX([12]ČR!$D$18:$D$383,DATE(2016,MONTH(S108),DAY(S108))-DATE(2016,1,1)+1,1)/1000000</f>
        <v>22.988743556549213</v>
      </c>
      <c r="U108" s="78" t="e">
        <f>IF(T!$A$4&gt;=MONTH(S108),VLOOKUP(S108,'[8]Podklady MZ'!$R$2:$S$367,2,FALSE),NA())</f>
        <v>#N/A</v>
      </c>
      <c r="V108" s="178">
        <f>INDEX([5]PT!$AF$16:$AF$381,DATE(2016,MONTH(S108),DAY(S108))-DATE(2016,1,1)+1,1)</f>
        <v>0</v>
      </c>
      <c r="W108" s="178">
        <f>IF(T!$A$4&lt;MONTH(S108),VLOOKUP(S108,'[8]Podklady MZ'!$R$2:$S$367,2,FALSE),NA())</f>
        <v>21</v>
      </c>
    </row>
    <row r="109" spans="19:23" x14ac:dyDescent="0.2">
      <c r="S109" s="77">
        <f t="shared" si="1"/>
        <v>42112</v>
      </c>
      <c r="T109" s="78">
        <f>INDEX([12]ČR!$D$18:$D$383,DATE(2016,MONTH(S109),DAY(S109))-DATE(2016,1,1)+1,1)/1000000</f>
        <v>22.107371793833448</v>
      </c>
      <c r="U109" s="78" t="e">
        <f>IF(T!$A$4&gt;=MONTH(S109),VLOOKUP(S109,'[8]Podklady MZ'!$R$2:$S$367,2,FALSE),NA())</f>
        <v>#N/A</v>
      </c>
      <c r="V109" s="178">
        <f>INDEX([5]PT!$AF$16:$AF$381,DATE(2016,MONTH(S109),DAY(S109))-DATE(2016,1,1)+1,1)</f>
        <v>0</v>
      </c>
      <c r="W109" s="178">
        <f>IF(T!$A$4&lt;MONTH(S109),VLOOKUP(S109,'[8]Podklady MZ'!$R$2:$S$367,2,FALSE),NA())</f>
        <v>21</v>
      </c>
    </row>
    <row r="110" spans="19:23" x14ac:dyDescent="0.2">
      <c r="S110" s="77">
        <f t="shared" si="1"/>
        <v>42113</v>
      </c>
      <c r="T110" s="78">
        <f>INDEX([12]ČR!$D$18:$D$383,DATE(2016,MONTH(S110),DAY(S110))-DATE(2016,1,1)+1,1)/1000000</f>
        <v>16.760777760846324</v>
      </c>
      <c r="U110" s="78" t="e">
        <f>IF(T!$A$4&gt;=MONTH(S110),VLOOKUP(S110,'[8]Podklady MZ'!$R$2:$S$367,2,FALSE),NA())</f>
        <v>#N/A</v>
      </c>
      <c r="V110" s="178">
        <f>INDEX([5]PT!$AF$16:$AF$381,DATE(2016,MONTH(S110),DAY(S110))-DATE(2016,1,1)+1,1)</f>
        <v>0</v>
      </c>
      <c r="W110" s="178">
        <f>IF(T!$A$4&lt;MONTH(S110),VLOOKUP(S110,'[8]Podklady MZ'!$R$2:$S$367,2,FALSE),NA())</f>
        <v>21</v>
      </c>
    </row>
    <row r="111" spans="19:23" x14ac:dyDescent="0.2">
      <c r="S111" s="77">
        <f t="shared" si="1"/>
        <v>42114</v>
      </c>
      <c r="T111" s="78">
        <f>INDEX([12]ČR!$D$18:$D$383,DATE(2016,MONTH(S111),DAY(S111))-DATE(2016,1,1)+1,1)/1000000</f>
        <v>14.747151369772238</v>
      </c>
      <c r="U111" s="78" t="e">
        <f>IF(T!$A$4&gt;=MONTH(S111),VLOOKUP(S111,'[8]Podklady MZ'!$R$2:$S$367,2,FALSE),NA())</f>
        <v>#N/A</v>
      </c>
      <c r="V111" s="178">
        <f>INDEX([5]PT!$AF$16:$AF$381,DATE(2016,MONTH(S111),DAY(S111))-DATE(2016,1,1)+1,1)</f>
        <v>0</v>
      </c>
      <c r="W111" s="178">
        <f>IF(T!$A$4&lt;MONTH(S111),VLOOKUP(S111,'[8]Podklady MZ'!$R$2:$S$367,2,FALSE),NA())</f>
        <v>21</v>
      </c>
    </row>
    <row r="112" spans="19:23" x14ac:dyDescent="0.2">
      <c r="S112" s="77">
        <f t="shared" si="1"/>
        <v>42115</v>
      </c>
      <c r="T112" s="78">
        <f>INDEX([12]ČR!$D$18:$D$383,DATE(2016,MONTH(S112),DAY(S112))-DATE(2016,1,1)+1,1)/1000000</f>
        <v>15.99156011450736</v>
      </c>
      <c r="U112" s="78" t="e">
        <f>IF(T!$A$4&gt;=MONTH(S112),VLOOKUP(S112,'[8]Podklady MZ'!$R$2:$S$367,2,FALSE),NA())</f>
        <v>#N/A</v>
      </c>
      <c r="V112" s="178">
        <f>INDEX([5]PT!$AF$16:$AF$381,DATE(2016,MONTH(S112),DAY(S112))-DATE(2016,1,1)+1,1)</f>
        <v>0</v>
      </c>
      <c r="W112" s="178">
        <f>IF(T!$A$4&lt;MONTH(S112),VLOOKUP(S112,'[8]Podklady MZ'!$R$2:$S$367,2,FALSE),NA())</f>
        <v>21</v>
      </c>
    </row>
    <row r="113" spans="19:23" x14ac:dyDescent="0.2">
      <c r="S113" s="77">
        <f t="shared" si="1"/>
        <v>42116</v>
      </c>
      <c r="T113" s="78">
        <f>INDEX([12]ČR!$D$18:$D$383,DATE(2016,MONTH(S113),DAY(S113))-DATE(2016,1,1)+1,1)/1000000</f>
        <v>17.229384863671001</v>
      </c>
      <c r="U113" s="78" t="e">
        <f>IF(T!$A$4&gt;=MONTH(S113),VLOOKUP(S113,'[8]Podklady MZ'!$R$2:$S$367,2,FALSE),NA())</f>
        <v>#N/A</v>
      </c>
      <c r="V113" s="178">
        <f>INDEX([5]PT!$AF$16:$AF$381,DATE(2016,MONTH(S113),DAY(S113))-DATE(2016,1,1)+1,1)</f>
        <v>0</v>
      </c>
      <c r="W113" s="178">
        <f>IF(T!$A$4&lt;MONTH(S113),VLOOKUP(S113,'[8]Podklady MZ'!$R$2:$S$367,2,FALSE),NA())</f>
        <v>21</v>
      </c>
    </row>
    <row r="114" spans="19:23" x14ac:dyDescent="0.2">
      <c r="S114" s="77">
        <f t="shared" si="1"/>
        <v>42117</v>
      </c>
      <c r="T114" s="78">
        <f>INDEX([12]ČR!$D$18:$D$383,DATE(2016,MONTH(S114),DAY(S114))-DATE(2016,1,1)+1,1)/1000000</f>
        <v>15.47834789744913</v>
      </c>
      <c r="U114" s="78" t="e">
        <f>IF(T!$A$4&gt;=MONTH(S114),VLOOKUP(S114,'[8]Podklady MZ'!$R$2:$S$367,2,FALSE),NA())</f>
        <v>#N/A</v>
      </c>
      <c r="V114" s="178">
        <f>INDEX([5]PT!$AF$16:$AF$381,DATE(2016,MONTH(S114),DAY(S114))-DATE(2016,1,1)+1,1)</f>
        <v>0</v>
      </c>
      <c r="W114" s="178">
        <f>IF(T!$A$4&lt;MONTH(S114),VLOOKUP(S114,'[8]Podklady MZ'!$R$2:$S$367,2,FALSE),NA())</f>
        <v>21</v>
      </c>
    </row>
    <row r="115" spans="19:23" x14ac:dyDescent="0.2">
      <c r="S115" s="77">
        <f t="shared" si="1"/>
        <v>42118</v>
      </c>
      <c r="T115" s="78">
        <f>INDEX([12]ČR!$D$18:$D$383,DATE(2016,MONTH(S115),DAY(S115))-DATE(2016,1,1)+1,1)/1000000</f>
        <v>14.555017812200164</v>
      </c>
      <c r="U115" s="78" t="e">
        <f>IF(T!$A$4&gt;=MONTH(S115),VLOOKUP(S115,'[8]Podklady MZ'!$R$2:$S$367,2,FALSE),NA())</f>
        <v>#N/A</v>
      </c>
      <c r="V115" s="178">
        <f>INDEX([5]PT!$AF$16:$AF$381,DATE(2016,MONTH(S115),DAY(S115))-DATE(2016,1,1)+1,1)</f>
        <v>0</v>
      </c>
      <c r="W115" s="178">
        <f>IF(T!$A$4&lt;MONTH(S115),VLOOKUP(S115,'[8]Podklady MZ'!$R$2:$S$367,2,FALSE),NA())</f>
        <v>21</v>
      </c>
    </row>
    <row r="116" spans="19:23" x14ac:dyDescent="0.2">
      <c r="S116" s="77">
        <f t="shared" si="1"/>
        <v>42119</v>
      </c>
      <c r="T116" s="78">
        <f>INDEX([12]ČR!$D$18:$D$383,DATE(2016,MONTH(S116),DAY(S116))-DATE(2016,1,1)+1,1)/1000000</f>
        <v>13.827656517724851</v>
      </c>
      <c r="U116" s="78" t="e">
        <f>IF(T!$A$4&gt;=MONTH(S116),VLOOKUP(S116,'[8]Podklady MZ'!$R$2:$S$367,2,FALSE),NA())</f>
        <v>#N/A</v>
      </c>
      <c r="V116" s="178">
        <f>INDEX([5]PT!$AF$16:$AF$381,DATE(2016,MONTH(S116),DAY(S116))-DATE(2016,1,1)+1,1)</f>
        <v>0</v>
      </c>
      <c r="W116" s="178">
        <f>IF(T!$A$4&lt;MONTH(S116),VLOOKUP(S116,'[8]Podklady MZ'!$R$2:$S$367,2,FALSE),NA())</f>
        <v>21</v>
      </c>
    </row>
    <row r="117" spans="19:23" x14ac:dyDescent="0.2">
      <c r="S117" s="77">
        <f t="shared" si="1"/>
        <v>42120</v>
      </c>
      <c r="T117" s="78">
        <f>INDEX([12]ČR!$D$18:$D$383,DATE(2016,MONTH(S117),DAY(S117))-DATE(2016,1,1)+1,1)/1000000</f>
        <v>11.756652419321258</v>
      </c>
      <c r="U117" s="78" t="e">
        <f>IF(T!$A$4&gt;=MONTH(S117),VLOOKUP(S117,'[8]Podklady MZ'!$R$2:$S$367,2,FALSE),NA())</f>
        <v>#N/A</v>
      </c>
      <c r="V117" s="178">
        <f>INDEX([5]PT!$AF$16:$AF$381,DATE(2016,MONTH(S117),DAY(S117))-DATE(2016,1,1)+1,1)</f>
        <v>0</v>
      </c>
      <c r="W117" s="178">
        <f>IF(T!$A$4&lt;MONTH(S117),VLOOKUP(S117,'[8]Podklady MZ'!$R$2:$S$367,2,FALSE),NA())</f>
        <v>21</v>
      </c>
    </row>
    <row r="118" spans="19:23" x14ac:dyDescent="0.2">
      <c r="S118" s="77">
        <f t="shared" si="1"/>
        <v>42121</v>
      </c>
      <c r="T118" s="78">
        <f>INDEX([12]ČR!$D$18:$D$383,DATE(2016,MONTH(S118),DAY(S118))-DATE(2016,1,1)+1,1)/1000000</f>
        <v>11.545792216771328</v>
      </c>
      <c r="U118" s="78" t="e">
        <f>IF(T!$A$4&gt;=MONTH(S118),VLOOKUP(S118,'[8]Podklady MZ'!$R$2:$S$367,2,FALSE),NA())</f>
        <v>#N/A</v>
      </c>
      <c r="V118" s="178">
        <f>INDEX([5]PT!$AF$16:$AF$381,DATE(2016,MONTH(S118),DAY(S118))-DATE(2016,1,1)+1,1)</f>
        <v>0</v>
      </c>
      <c r="W118" s="178">
        <f>IF(T!$A$4&lt;MONTH(S118),VLOOKUP(S118,'[8]Podklady MZ'!$R$2:$S$367,2,FALSE),NA())</f>
        <v>21</v>
      </c>
    </row>
    <row r="119" spans="19:23" x14ac:dyDescent="0.2">
      <c r="S119" s="77">
        <f t="shared" si="1"/>
        <v>42122</v>
      </c>
      <c r="T119" s="78">
        <f>INDEX([12]ČR!$D$18:$D$383,DATE(2016,MONTH(S119),DAY(S119))-DATE(2016,1,1)+1,1)/1000000</f>
        <v>13.869957514600513</v>
      </c>
      <c r="U119" s="78" t="e">
        <f>IF(T!$A$4&gt;=MONTH(S119),VLOOKUP(S119,'[8]Podklady MZ'!$R$2:$S$367,2,FALSE),NA())</f>
        <v>#N/A</v>
      </c>
      <c r="V119" s="178">
        <f>INDEX([5]PT!$AF$16:$AF$381,DATE(2016,MONTH(S119),DAY(S119))-DATE(2016,1,1)+1,1)</f>
        <v>0</v>
      </c>
      <c r="W119" s="178">
        <f>IF(T!$A$4&lt;MONTH(S119),VLOOKUP(S119,'[8]Podklady MZ'!$R$2:$S$367,2,FALSE),NA())</f>
        <v>21</v>
      </c>
    </row>
    <row r="120" spans="19:23" x14ac:dyDescent="0.2">
      <c r="S120" s="77">
        <f t="shared" si="1"/>
        <v>42123</v>
      </c>
      <c r="T120" s="78">
        <f>INDEX([12]ČR!$D$18:$D$383,DATE(2016,MONTH(S120),DAY(S120))-DATE(2016,1,1)+1,1)/1000000</f>
        <v>14.202974548155238</v>
      </c>
      <c r="U120" s="78" t="e">
        <f>IF(T!$A$4&gt;=MONTH(S120),VLOOKUP(S120,'[8]Podklady MZ'!$R$2:$S$367,2,FALSE),NA())</f>
        <v>#N/A</v>
      </c>
      <c r="V120" s="178">
        <f>INDEX([5]PT!$AF$16:$AF$381,DATE(2016,MONTH(S120),DAY(S120))-DATE(2016,1,1)+1,1)</f>
        <v>0</v>
      </c>
      <c r="W120" s="178">
        <f>IF(T!$A$4&lt;MONTH(S120),VLOOKUP(S120,'[8]Podklady MZ'!$R$2:$S$367,2,FALSE),NA())</f>
        <v>21</v>
      </c>
    </row>
    <row r="121" spans="19:23" x14ac:dyDescent="0.2">
      <c r="S121" s="77">
        <f t="shared" si="1"/>
        <v>42124</v>
      </c>
      <c r="T121" s="78">
        <f>INDEX([12]ČR!$D$18:$D$383,DATE(2016,MONTH(S121),DAY(S121))-DATE(2016,1,1)+1,1)/1000000</f>
        <v>13.11850774419106</v>
      </c>
      <c r="U121" s="78" t="e">
        <f>IF(T!$A$4&gt;=MONTH(S121),VLOOKUP(S121,'[8]Podklady MZ'!$R$2:$S$367,2,FALSE),NA())</f>
        <v>#N/A</v>
      </c>
      <c r="V121" s="178">
        <f>INDEX([5]PT!$AF$16:$AF$381,DATE(2016,MONTH(S121),DAY(S121))-DATE(2016,1,1)+1,1)</f>
        <v>0</v>
      </c>
      <c r="W121" s="178">
        <f>IF(T!$A$4&lt;MONTH(S121),VLOOKUP(S121,'[8]Podklady MZ'!$R$2:$S$367,2,FALSE),NA())</f>
        <v>21</v>
      </c>
    </row>
    <row r="122" spans="19:23" x14ac:dyDescent="0.2">
      <c r="S122" s="77">
        <f t="shared" si="1"/>
        <v>42125</v>
      </c>
      <c r="T122" s="78">
        <f>INDEX([12]ČR!$D$18:$D$383,DATE(2016,MONTH(S122),DAY(S122))-DATE(2016,1,1)+1,1)/1000000</f>
        <v>11.839500627664977</v>
      </c>
      <c r="U122" s="78" t="e">
        <f>IF(T!$A$4&gt;=MONTH(S122),VLOOKUP(S122,'[8]Podklady MZ'!$R$2:$S$367,2,FALSE),NA())</f>
        <v>#N/A</v>
      </c>
      <c r="V122" s="178">
        <f>INDEX([5]PT!$AF$16:$AF$381,DATE(2016,MONTH(S122),DAY(S122))-DATE(2016,1,1)+1,1)</f>
        <v>0</v>
      </c>
      <c r="W122" s="178">
        <f>IF(T!$A$4&lt;MONTH(S122),VLOOKUP(S122,'[8]Podklady MZ'!$R$2:$S$367,2,FALSE),NA())</f>
        <v>12.903225806451612</v>
      </c>
    </row>
    <row r="123" spans="19:23" x14ac:dyDescent="0.2">
      <c r="S123" s="77">
        <f t="shared" si="1"/>
        <v>42126</v>
      </c>
      <c r="T123" s="78">
        <f>INDEX([12]ČR!$D$18:$D$383,DATE(2016,MONTH(S123),DAY(S123))-DATE(2016,1,1)+1,1)/1000000</f>
        <v>13.530714254331093</v>
      </c>
      <c r="U123" s="78" t="e">
        <f>IF(T!$A$4&gt;=MONTH(S123),VLOOKUP(S123,'[8]Podklady MZ'!$R$2:$S$367,2,FALSE),NA())</f>
        <v>#N/A</v>
      </c>
      <c r="V123" s="178">
        <f>INDEX([5]PT!$AF$16:$AF$381,DATE(2016,MONTH(S123),DAY(S123))-DATE(2016,1,1)+1,1)</f>
        <v>0</v>
      </c>
      <c r="W123" s="178">
        <f>IF(T!$A$4&lt;MONTH(S123),VLOOKUP(S123,'[8]Podklady MZ'!$R$2:$S$367,2,FALSE),NA())</f>
        <v>12.903225806451612</v>
      </c>
    </row>
    <row r="124" spans="19:23" x14ac:dyDescent="0.2">
      <c r="S124" s="77">
        <f t="shared" si="1"/>
        <v>42127</v>
      </c>
      <c r="T124" s="78">
        <f>INDEX([12]ČR!$D$18:$D$383,DATE(2016,MONTH(S124),DAY(S124))-DATE(2016,1,1)+1,1)/1000000</f>
        <v>16.690623805383037</v>
      </c>
      <c r="U124" s="78" t="e">
        <f>IF(T!$A$4&gt;=MONTH(S124),VLOOKUP(S124,'[8]Podklady MZ'!$R$2:$S$367,2,FALSE),NA())</f>
        <v>#N/A</v>
      </c>
      <c r="V124" s="178">
        <f>INDEX([5]PT!$AF$16:$AF$381,DATE(2016,MONTH(S124),DAY(S124))-DATE(2016,1,1)+1,1)</f>
        <v>0</v>
      </c>
      <c r="W124" s="178">
        <f>IF(T!$A$4&lt;MONTH(S124),VLOOKUP(S124,'[8]Podklady MZ'!$R$2:$S$367,2,FALSE),NA())</f>
        <v>12.903225806451612</v>
      </c>
    </row>
    <row r="125" spans="19:23" x14ac:dyDescent="0.2">
      <c r="S125" s="77">
        <f t="shared" si="1"/>
        <v>42128</v>
      </c>
      <c r="T125" s="78">
        <f>INDEX([12]ČR!$D$18:$D$383,DATE(2016,MONTH(S125),DAY(S125))-DATE(2016,1,1)+1,1)/1000000</f>
        <v>16.897915301249057</v>
      </c>
      <c r="U125" s="78" t="e">
        <f>IF(T!$A$4&gt;=MONTH(S125),VLOOKUP(S125,'[8]Podklady MZ'!$R$2:$S$367,2,FALSE),NA())</f>
        <v>#N/A</v>
      </c>
      <c r="V125" s="178">
        <f>INDEX([5]PT!$AF$16:$AF$381,DATE(2016,MONTH(S125),DAY(S125))-DATE(2016,1,1)+1,1)</f>
        <v>0</v>
      </c>
      <c r="W125" s="178">
        <f>IF(T!$A$4&lt;MONTH(S125),VLOOKUP(S125,'[8]Podklady MZ'!$R$2:$S$367,2,FALSE),NA())</f>
        <v>12.903225806451612</v>
      </c>
    </row>
    <row r="126" spans="19:23" x14ac:dyDescent="0.2">
      <c r="S126" s="77">
        <f t="shared" si="1"/>
        <v>42129</v>
      </c>
      <c r="T126" s="78">
        <f>INDEX([12]ČR!$D$18:$D$383,DATE(2016,MONTH(S126),DAY(S126))-DATE(2016,1,1)+1,1)/1000000</f>
        <v>18.958099619848774</v>
      </c>
      <c r="U126" s="78" t="e">
        <f>IF(T!$A$4&gt;=MONTH(S126),VLOOKUP(S126,'[8]Podklady MZ'!$R$2:$S$367,2,FALSE),NA())</f>
        <v>#N/A</v>
      </c>
      <c r="V126" s="178">
        <f>INDEX([5]PT!$AF$16:$AF$381,DATE(2016,MONTH(S126),DAY(S126))-DATE(2016,1,1)+1,1)</f>
        <v>0</v>
      </c>
      <c r="W126" s="178">
        <f>IF(T!$A$4&lt;MONTH(S126),VLOOKUP(S126,'[8]Podklady MZ'!$R$2:$S$367,2,FALSE),NA())</f>
        <v>12.903225806451612</v>
      </c>
    </row>
    <row r="127" spans="19:23" x14ac:dyDescent="0.2">
      <c r="S127" s="77">
        <f t="shared" si="1"/>
        <v>42130</v>
      </c>
      <c r="T127" s="78">
        <f>INDEX([12]ČR!$D$18:$D$383,DATE(2016,MONTH(S127),DAY(S127))-DATE(2016,1,1)+1,1)/1000000</f>
        <v>16.412153539843366</v>
      </c>
      <c r="U127" s="78" t="e">
        <f>IF(T!$A$4&gt;=MONTH(S127),VLOOKUP(S127,'[8]Podklady MZ'!$R$2:$S$367,2,FALSE),NA())</f>
        <v>#N/A</v>
      </c>
      <c r="V127" s="178">
        <f>INDEX([5]PT!$AF$16:$AF$381,DATE(2016,MONTH(S127),DAY(S127))-DATE(2016,1,1)+1,1)</f>
        <v>0</v>
      </c>
      <c r="W127" s="178">
        <f>IF(T!$A$4&lt;MONTH(S127),VLOOKUP(S127,'[8]Podklady MZ'!$R$2:$S$367,2,FALSE),NA())</f>
        <v>12.903225806451612</v>
      </c>
    </row>
    <row r="128" spans="19:23" x14ac:dyDescent="0.2">
      <c r="S128" s="77">
        <f t="shared" si="1"/>
        <v>42131</v>
      </c>
      <c r="T128" s="78">
        <f>INDEX([12]ČR!$D$18:$D$383,DATE(2016,MONTH(S128),DAY(S128))-DATE(2016,1,1)+1,1)/1000000</f>
        <v>16.923185342344148</v>
      </c>
      <c r="U128" s="78" t="e">
        <f>IF(T!$A$4&gt;=MONTH(S128),VLOOKUP(S128,'[8]Podklady MZ'!$R$2:$S$367,2,FALSE),NA())</f>
        <v>#N/A</v>
      </c>
      <c r="V128" s="178">
        <f>INDEX([5]PT!$AF$16:$AF$381,DATE(2016,MONTH(S128),DAY(S128))-DATE(2016,1,1)+1,1)</f>
        <v>0</v>
      </c>
      <c r="W128" s="178">
        <f>IF(T!$A$4&lt;MONTH(S128),VLOOKUP(S128,'[8]Podklady MZ'!$R$2:$S$367,2,FALSE),NA())</f>
        <v>12.903225806451612</v>
      </c>
    </row>
    <row r="129" spans="19:23" x14ac:dyDescent="0.2">
      <c r="S129" s="77">
        <f t="shared" si="1"/>
        <v>42132</v>
      </c>
      <c r="T129" s="78">
        <f>INDEX([12]ČR!$D$18:$D$383,DATE(2016,MONTH(S129),DAY(S129))-DATE(2016,1,1)+1,1)/1000000</f>
        <v>13.588580026644813</v>
      </c>
      <c r="U129" s="78" t="e">
        <f>IF(T!$A$4&gt;=MONTH(S129),VLOOKUP(S129,'[8]Podklady MZ'!$R$2:$S$367,2,FALSE),NA())</f>
        <v>#N/A</v>
      </c>
      <c r="V129" s="178">
        <f>INDEX([5]PT!$AF$16:$AF$381,DATE(2016,MONTH(S129),DAY(S129))-DATE(2016,1,1)+1,1)</f>
        <v>0</v>
      </c>
      <c r="W129" s="178">
        <f>IF(T!$A$4&lt;MONTH(S129),VLOOKUP(S129,'[8]Podklady MZ'!$R$2:$S$367,2,FALSE),NA())</f>
        <v>12.903225806451612</v>
      </c>
    </row>
    <row r="130" spans="19:23" x14ac:dyDescent="0.2">
      <c r="S130" s="77">
        <f t="shared" si="1"/>
        <v>42133</v>
      </c>
      <c r="T130" s="78">
        <f>INDEX([12]ČR!$D$18:$D$383,DATE(2016,MONTH(S130),DAY(S130))-DATE(2016,1,1)+1,1)/1000000</f>
        <v>13.035132222069764</v>
      </c>
      <c r="U130" s="78" t="e">
        <f>IF(T!$A$4&gt;=MONTH(S130),VLOOKUP(S130,'[8]Podklady MZ'!$R$2:$S$367,2,FALSE),NA())</f>
        <v>#N/A</v>
      </c>
      <c r="V130" s="178">
        <f>INDEX([5]PT!$AF$16:$AF$381,DATE(2016,MONTH(S130),DAY(S130))-DATE(2016,1,1)+1,1)</f>
        <v>0</v>
      </c>
      <c r="W130" s="178">
        <f>IF(T!$A$4&lt;MONTH(S130),VLOOKUP(S130,'[8]Podklady MZ'!$R$2:$S$367,2,FALSE),NA())</f>
        <v>12.903225806451612</v>
      </c>
    </row>
    <row r="131" spans="19:23" x14ac:dyDescent="0.2">
      <c r="S131" s="77">
        <f t="shared" si="1"/>
        <v>42134</v>
      </c>
      <c r="T131" s="78">
        <f>INDEX([12]ČR!$D$18:$D$383,DATE(2016,MONTH(S131),DAY(S131))-DATE(2016,1,1)+1,1)/1000000</f>
        <v>11.394917291532799</v>
      </c>
      <c r="U131" s="78" t="e">
        <f>IF(T!$A$4&gt;=MONTH(S131),VLOOKUP(S131,'[8]Podklady MZ'!$R$2:$S$367,2,FALSE),NA())</f>
        <v>#N/A</v>
      </c>
      <c r="V131" s="178">
        <f>INDEX([5]PT!$AF$16:$AF$381,DATE(2016,MONTH(S131),DAY(S131))-DATE(2016,1,1)+1,1)</f>
        <v>0</v>
      </c>
      <c r="W131" s="178">
        <f>IF(T!$A$4&lt;MONTH(S131),VLOOKUP(S131,'[8]Podklady MZ'!$R$2:$S$367,2,FALSE),NA())</f>
        <v>12.903225806451612</v>
      </c>
    </row>
    <row r="132" spans="19:23" x14ac:dyDescent="0.2">
      <c r="S132" s="77">
        <f t="shared" ref="S132:S195" si="2">S131+1</f>
        <v>42135</v>
      </c>
      <c r="T132" s="78">
        <f>INDEX([12]ČR!$D$18:$D$383,DATE(2016,MONTH(S132),DAY(S132))-DATE(2016,1,1)+1,1)/1000000</f>
        <v>13.100809517095797</v>
      </c>
      <c r="U132" s="78" t="e">
        <f>IF(T!$A$4&gt;=MONTH(S132),VLOOKUP(S132,'[8]Podklady MZ'!$R$2:$S$367,2,FALSE),NA())</f>
        <v>#N/A</v>
      </c>
      <c r="V132" s="178">
        <f>INDEX([5]PT!$AF$16:$AF$381,DATE(2016,MONTH(S132),DAY(S132))-DATE(2016,1,1)+1,1)</f>
        <v>0</v>
      </c>
      <c r="W132" s="178">
        <f>IF(T!$A$4&lt;MONTH(S132),VLOOKUP(S132,'[8]Podklady MZ'!$R$2:$S$367,2,FALSE),NA())</f>
        <v>12.903225806451612</v>
      </c>
    </row>
    <row r="133" spans="19:23" x14ac:dyDescent="0.2">
      <c r="S133" s="77">
        <f t="shared" si="2"/>
        <v>42136</v>
      </c>
      <c r="T133" s="78">
        <f>INDEX([12]ČR!$D$18:$D$383,DATE(2016,MONTH(S133),DAY(S133))-DATE(2016,1,1)+1,1)/1000000</f>
        <v>15.968776169667855</v>
      </c>
      <c r="U133" s="78" t="e">
        <f>IF(T!$A$4&gt;=MONTH(S133),VLOOKUP(S133,'[8]Podklady MZ'!$R$2:$S$367,2,FALSE),NA())</f>
        <v>#N/A</v>
      </c>
      <c r="V133" s="178">
        <f>INDEX([5]PT!$AF$16:$AF$381,DATE(2016,MONTH(S133),DAY(S133))-DATE(2016,1,1)+1,1)</f>
        <v>0</v>
      </c>
      <c r="W133" s="178">
        <f>IF(T!$A$4&lt;MONTH(S133),VLOOKUP(S133,'[8]Podklady MZ'!$R$2:$S$367,2,FALSE),NA())</f>
        <v>12.903225806451612</v>
      </c>
    </row>
    <row r="134" spans="19:23" x14ac:dyDescent="0.2">
      <c r="S134" s="77">
        <f t="shared" si="2"/>
        <v>42137</v>
      </c>
      <c r="T134" s="78">
        <f>INDEX([12]ČR!$D$18:$D$383,DATE(2016,MONTH(S134),DAY(S134))-DATE(2016,1,1)+1,1)/1000000</f>
        <v>16.660640374974943</v>
      </c>
      <c r="U134" s="78" t="e">
        <f>IF(T!$A$4&gt;=MONTH(S134),VLOOKUP(S134,'[8]Podklady MZ'!$R$2:$S$367,2,FALSE),NA())</f>
        <v>#N/A</v>
      </c>
      <c r="V134" s="178">
        <f>INDEX([5]PT!$AF$16:$AF$381,DATE(2016,MONTH(S134),DAY(S134))-DATE(2016,1,1)+1,1)</f>
        <v>0</v>
      </c>
      <c r="W134" s="178">
        <f>IF(T!$A$4&lt;MONTH(S134),VLOOKUP(S134,'[8]Podklady MZ'!$R$2:$S$367,2,FALSE),NA())</f>
        <v>12.903225806451612</v>
      </c>
    </row>
    <row r="135" spans="19:23" x14ac:dyDescent="0.2">
      <c r="S135" s="77">
        <f t="shared" si="2"/>
        <v>42138</v>
      </c>
      <c r="T135" s="78">
        <f>INDEX([12]ČR!$D$18:$D$383,DATE(2016,MONTH(S135),DAY(S135))-DATE(2016,1,1)+1,1)/1000000</f>
        <v>18.08790069134259</v>
      </c>
      <c r="U135" s="78" t="e">
        <f>IF(T!$A$4&gt;=MONTH(S135),VLOOKUP(S135,'[8]Podklady MZ'!$R$2:$S$367,2,FALSE),NA())</f>
        <v>#N/A</v>
      </c>
      <c r="V135" s="178">
        <f>INDEX([5]PT!$AF$16:$AF$381,DATE(2016,MONTH(S135),DAY(S135))-DATE(2016,1,1)+1,1)</f>
        <v>0</v>
      </c>
      <c r="W135" s="178">
        <f>IF(T!$A$4&lt;MONTH(S135),VLOOKUP(S135,'[8]Podklady MZ'!$R$2:$S$367,2,FALSE),NA())</f>
        <v>12.903225806451612</v>
      </c>
    </row>
    <row r="136" spans="19:23" x14ac:dyDescent="0.2">
      <c r="S136" s="77">
        <f t="shared" si="2"/>
        <v>42139</v>
      </c>
      <c r="T136" s="78">
        <f>INDEX([12]ČR!$D$18:$D$383,DATE(2016,MONTH(S136),DAY(S136))-DATE(2016,1,1)+1,1)/1000000</f>
        <v>19.465409272283821</v>
      </c>
      <c r="U136" s="78" t="e">
        <f>IF(T!$A$4&gt;=MONTH(S136),VLOOKUP(S136,'[8]Podklady MZ'!$R$2:$S$367,2,FALSE),NA())</f>
        <v>#N/A</v>
      </c>
      <c r="V136" s="178">
        <f>INDEX([5]PT!$AF$16:$AF$381,DATE(2016,MONTH(S136),DAY(S136))-DATE(2016,1,1)+1,1)</f>
        <v>0</v>
      </c>
      <c r="W136" s="178">
        <f>IF(T!$A$4&lt;MONTH(S136),VLOOKUP(S136,'[8]Podklady MZ'!$R$2:$S$367,2,FALSE),NA())</f>
        <v>12.903225806451612</v>
      </c>
    </row>
    <row r="137" spans="19:23" x14ac:dyDescent="0.2">
      <c r="S137" s="77">
        <f t="shared" si="2"/>
        <v>42140</v>
      </c>
      <c r="T137" s="78">
        <f>INDEX([12]ČR!$D$18:$D$383,DATE(2016,MONTH(S137),DAY(S137))-DATE(2016,1,1)+1,1)/1000000</f>
        <v>19.278662465318448</v>
      </c>
      <c r="U137" s="78" t="e">
        <f>IF(T!$A$4&gt;=MONTH(S137),VLOOKUP(S137,'[8]Podklady MZ'!$R$2:$S$367,2,FALSE),NA())</f>
        <v>#N/A</v>
      </c>
      <c r="V137" s="178">
        <f>INDEX([5]PT!$AF$16:$AF$381,DATE(2016,MONTH(S137),DAY(S137))-DATE(2016,1,1)+1,1)</f>
        <v>0</v>
      </c>
      <c r="W137" s="178">
        <f>IF(T!$A$4&lt;MONTH(S137),VLOOKUP(S137,'[8]Podklady MZ'!$R$2:$S$367,2,FALSE),NA())</f>
        <v>12.903225806451612</v>
      </c>
    </row>
    <row r="138" spans="19:23" x14ac:dyDescent="0.2">
      <c r="S138" s="77">
        <f t="shared" si="2"/>
        <v>42141</v>
      </c>
      <c r="T138" s="78">
        <f>INDEX([12]ČR!$D$18:$D$383,DATE(2016,MONTH(S138),DAY(S138))-DATE(2016,1,1)+1,1)/1000000</f>
        <v>16.827935520045752</v>
      </c>
      <c r="U138" s="78" t="e">
        <f>IF(T!$A$4&gt;=MONTH(S138),VLOOKUP(S138,'[8]Podklady MZ'!$R$2:$S$367,2,FALSE),NA())</f>
        <v>#N/A</v>
      </c>
      <c r="V138" s="178">
        <f>INDEX([5]PT!$AF$16:$AF$381,DATE(2016,MONTH(S138),DAY(S138))-DATE(2016,1,1)+1,1)</f>
        <v>0</v>
      </c>
      <c r="W138" s="178">
        <f>IF(T!$A$4&lt;MONTH(S138),VLOOKUP(S138,'[8]Podklady MZ'!$R$2:$S$367,2,FALSE),NA())</f>
        <v>12.903225806451612</v>
      </c>
    </row>
    <row r="139" spans="19:23" x14ac:dyDescent="0.2">
      <c r="S139" s="77">
        <f t="shared" si="2"/>
        <v>42142</v>
      </c>
      <c r="T139" s="78">
        <f>INDEX([12]ČR!$D$18:$D$383,DATE(2016,MONTH(S139),DAY(S139))-DATE(2016,1,1)+1,1)/1000000</f>
        <v>16.379231071060332</v>
      </c>
      <c r="U139" s="78" t="e">
        <f>IF(T!$A$4&gt;=MONTH(S139),VLOOKUP(S139,'[8]Podklady MZ'!$R$2:$S$367,2,FALSE),NA())</f>
        <v>#N/A</v>
      </c>
      <c r="V139" s="178">
        <f>INDEX([5]PT!$AF$16:$AF$381,DATE(2016,MONTH(S139),DAY(S139))-DATE(2016,1,1)+1,1)</f>
        <v>0</v>
      </c>
      <c r="W139" s="178">
        <f>IF(T!$A$4&lt;MONTH(S139),VLOOKUP(S139,'[8]Podklady MZ'!$R$2:$S$367,2,FALSE),NA())</f>
        <v>12.903225806451612</v>
      </c>
    </row>
    <row r="140" spans="19:23" x14ac:dyDescent="0.2">
      <c r="S140" s="77">
        <f t="shared" si="2"/>
        <v>42143</v>
      </c>
      <c r="T140" s="78">
        <f>INDEX([12]ČR!$D$18:$D$383,DATE(2016,MONTH(S140),DAY(S140))-DATE(2016,1,1)+1,1)/1000000</f>
        <v>14.917899861760551</v>
      </c>
      <c r="U140" s="78" t="e">
        <f>IF(T!$A$4&gt;=MONTH(S140),VLOOKUP(S140,'[8]Podklady MZ'!$R$2:$S$367,2,FALSE),NA())</f>
        <v>#N/A</v>
      </c>
      <c r="V140" s="178">
        <f>INDEX([5]PT!$AF$16:$AF$381,DATE(2016,MONTH(S140),DAY(S140))-DATE(2016,1,1)+1,1)</f>
        <v>0</v>
      </c>
      <c r="W140" s="178">
        <f>IF(T!$A$4&lt;MONTH(S140),VLOOKUP(S140,'[8]Podklady MZ'!$R$2:$S$367,2,FALSE),NA())</f>
        <v>12.903225806451612</v>
      </c>
    </row>
    <row r="141" spans="19:23" x14ac:dyDescent="0.2">
      <c r="S141" s="77">
        <f t="shared" si="2"/>
        <v>42144</v>
      </c>
      <c r="T141" s="78">
        <f>INDEX([12]ČR!$D$18:$D$383,DATE(2016,MONTH(S141),DAY(S141))-DATE(2016,1,1)+1,1)/1000000</f>
        <v>12.582811552043109</v>
      </c>
      <c r="U141" s="78" t="e">
        <f>IF(T!$A$4&gt;=MONTH(S141),VLOOKUP(S141,'[8]Podklady MZ'!$R$2:$S$367,2,FALSE),NA())</f>
        <v>#N/A</v>
      </c>
      <c r="V141" s="178">
        <f>INDEX([5]PT!$AF$16:$AF$381,DATE(2016,MONTH(S141),DAY(S141))-DATE(2016,1,1)+1,1)</f>
        <v>0</v>
      </c>
      <c r="W141" s="178">
        <f>IF(T!$A$4&lt;MONTH(S141),VLOOKUP(S141,'[8]Podklady MZ'!$R$2:$S$367,2,FALSE),NA())</f>
        <v>12.903225806451612</v>
      </c>
    </row>
    <row r="142" spans="19:23" x14ac:dyDescent="0.2">
      <c r="S142" s="77">
        <f t="shared" si="2"/>
        <v>42145</v>
      </c>
      <c r="T142" s="78">
        <f>INDEX([12]ČR!$D$18:$D$383,DATE(2016,MONTH(S142),DAY(S142))-DATE(2016,1,1)+1,1)/1000000</f>
        <v>11.65639295006318</v>
      </c>
      <c r="U142" s="78" t="e">
        <f>IF(T!$A$4&gt;=MONTH(S142),VLOOKUP(S142,'[8]Podklady MZ'!$R$2:$S$367,2,FALSE),NA())</f>
        <v>#N/A</v>
      </c>
      <c r="V142" s="178">
        <f>INDEX([5]PT!$AF$16:$AF$381,DATE(2016,MONTH(S142),DAY(S142))-DATE(2016,1,1)+1,1)</f>
        <v>0</v>
      </c>
      <c r="W142" s="178">
        <f>IF(T!$A$4&lt;MONTH(S142),VLOOKUP(S142,'[8]Podklady MZ'!$R$2:$S$367,2,FALSE),NA())</f>
        <v>12.903225806451612</v>
      </c>
    </row>
    <row r="143" spans="19:23" x14ac:dyDescent="0.2">
      <c r="S143" s="77">
        <f t="shared" si="2"/>
        <v>42146</v>
      </c>
      <c r="T143" s="78">
        <f>INDEX([12]ČR!$D$18:$D$383,DATE(2016,MONTH(S143),DAY(S143))-DATE(2016,1,1)+1,1)/1000000</f>
        <v>11.132254807470311</v>
      </c>
      <c r="U143" s="78" t="e">
        <f>IF(T!$A$4&gt;=MONTH(S143),VLOOKUP(S143,'[8]Podklady MZ'!$R$2:$S$367,2,FALSE),NA())</f>
        <v>#N/A</v>
      </c>
      <c r="V143" s="178">
        <f>INDEX([5]PT!$AF$16:$AF$381,DATE(2016,MONTH(S143),DAY(S143))-DATE(2016,1,1)+1,1)</f>
        <v>0</v>
      </c>
      <c r="W143" s="178">
        <f>IF(T!$A$4&lt;MONTH(S143),VLOOKUP(S143,'[8]Podklady MZ'!$R$2:$S$367,2,FALSE),NA())</f>
        <v>12.903225806451612</v>
      </c>
    </row>
    <row r="144" spans="19:23" x14ac:dyDescent="0.2">
      <c r="S144" s="77">
        <f t="shared" si="2"/>
        <v>42147</v>
      </c>
      <c r="T144" s="78">
        <f>INDEX([12]ČR!$D$18:$D$383,DATE(2016,MONTH(S144),DAY(S144))-DATE(2016,1,1)+1,1)/1000000</f>
        <v>10.478143930618685</v>
      </c>
      <c r="U144" s="78" t="e">
        <f>IF(T!$A$4&gt;=MONTH(S144),VLOOKUP(S144,'[8]Podklady MZ'!$R$2:$S$367,2,FALSE),NA())</f>
        <v>#N/A</v>
      </c>
      <c r="V144" s="178">
        <f>INDEX([5]PT!$AF$16:$AF$381,DATE(2016,MONTH(S144),DAY(S144))-DATE(2016,1,1)+1,1)</f>
        <v>0</v>
      </c>
      <c r="W144" s="178">
        <f>IF(T!$A$4&lt;MONTH(S144),VLOOKUP(S144,'[8]Podklady MZ'!$R$2:$S$367,2,FALSE),NA())</f>
        <v>12.903225806451612</v>
      </c>
    </row>
    <row r="145" spans="19:23" x14ac:dyDescent="0.2">
      <c r="S145" s="77">
        <f t="shared" si="2"/>
        <v>42148</v>
      </c>
      <c r="T145" s="78">
        <f>INDEX([12]ČR!$D$18:$D$383,DATE(2016,MONTH(S145),DAY(S145))-DATE(2016,1,1)+1,1)/1000000</f>
        <v>9.2781211312542951</v>
      </c>
      <c r="U145" s="78" t="e">
        <f>IF(T!$A$4&gt;=MONTH(S145),VLOOKUP(S145,'[8]Podklady MZ'!$R$2:$S$367,2,FALSE),NA())</f>
        <v>#N/A</v>
      </c>
      <c r="V145" s="178">
        <f>INDEX([5]PT!$AF$16:$AF$381,DATE(2016,MONTH(S145),DAY(S145))-DATE(2016,1,1)+1,1)</f>
        <v>0</v>
      </c>
      <c r="W145" s="178">
        <f>IF(T!$A$4&lt;MONTH(S145),VLOOKUP(S145,'[8]Podklady MZ'!$R$2:$S$367,2,FALSE),NA())</f>
        <v>12.903225806451612</v>
      </c>
    </row>
    <row r="146" spans="19:23" x14ac:dyDescent="0.2">
      <c r="S146" s="77">
        <f t="shared" si="2"/>
        <v>42149</v>
      </c>
      <c r="T146" s="78">
        <f>INDEX([12]ČR!$D$18:$D$383,DATE(2016,MONTH(S146),DAY(S146))-DATE(2016,1,1)+1,1)/1000000</f>
        <v>9.656171123571907</v>
      </c>
      <c r="U146" s="78" t="e">
        <f>IF(T!$A$4&gt;=MONTH(S146),VLOOKUP(S146,'[8]Podklady MZ'!$R$2:$S$367,2,FALSE),NA())</f>
        <v>#N/A</v>
      </c>
      <c r="V146" s="178">
        <f>INDEX([5]PT!$AF$16:$AF$381,DATE(2016,MONTH(S146),DAY(S146))-DATE(2016,1,1)+1,1)</f>
        <v>0</v>
      </c>
      <c r="W146" s="178">
        <f>IF(T!$A$4&lt;MONTH(S146),VLOOKUP(S146,'[8]Podklady MZ'!$R$2:$S$367,2,FALSE),NA())</f>
        <v>12.903225806451612</v>
      </c>
    </row>
    <row r="147" spans="19:23" x14ac:dyDescent="0.2">
      <c r="S147" s="77">
        <f t="shared" si="2"/>
        <v>42150</v>
      </c>
      <c r="T147" s="78">
        <f>INDEX([12]ČR!$D$18:$D$383,DATE(2016,MONTH(S147),DAY(S147))-DATE(2016,1,1)+1,1)/1000000</f>
        <v>10.865945761979171</v>
      </c>
      <c r="U147" s="78" t="e">
        <f>IF(T!$A$4&gt;=MONTH(S147),VLOOKUP(S147,'[8]Podklady MZ'!$R$2:$S$367,2,FALSE),NA())</f>
        <v>#N/A</v>
      </c>
      <c r="V147" s="178">
        <f>INDEX([5]PT!$AF$16:$AF$381,DATE(2016,MONTH(S147),DAY(S147))-DATE(2016,1,1)+1,1)</f>
        <v>0</v>
      </c>
      <c r="W147" s="178">
        <f>IF(T!$A$4&lt;MONTH(S147),VLOOKUP(S147,'[8]Podklady MZ'!$R$2:$S$367,2,FALSE),NA())</f>
        <v>12.903225806451612</v>
      </c>
    </row>
    <row r="148" spans="19:23" x14ac:dyDescent="0.2">
      <c r="S148" s="77">
        <f t="shared" si="2"/>
        <v>42151</v>
      </c>
      <c r="T148" s="78">
        <f>INDEX([12]ČR!$D$18:$D$383,DATE(2016,MONTH(S148),DAY(S148))-DATE(2016,1,1)+1,1)/1000000</f>
        <v>11.108612309215228</v>
      </c>
      <c r="U148" s="78" t="e">
        <f>IF(T!$A$4&gt;=MONTH(S148),VLOOKUP(S148,'[8]Podklady MZ'!$R$2:$S$367,2,FALSE),NA())</f>
        <v>#N/A</v>
      </c>
      <c r="V148" s="178">
        <f>INDEX([5]PT!$AF$16:$AF$381,DATE(2016,MONTH(S148),DAY(S148))-DATE(2016,1,1)+1,1)</f>
        <v>0</v>
      </c>
      <c r="W148" s="178">
        <f>IF(T!$A$4&lt;MONTH(S148),VLOOKUP(S148,'[8]Podklady MZ'!$R$2:$S$367,2,FALSE),NA())</f>
        <v>12.903225806451612</v>
      </c>
    </row>
    <row r="149" spans="19:23" x14ac:dyDescent="0.2">
      <c r="S149" s="77">
        <f t="shared" si="2"/>
        <v>42152</v>
      </c>
      <c r="T149" s="78">
        <f>INDEX([12]ČR!$D$18:$D$383,DATE(2016,MONTH(S149),DAY(S149))-DATE(2016,1,1)+1,1)/1000000</f>
        <v>11.808502084814611</v>
      </c>
      <c r="U149" s="78" t="e">
        <f>IF(T!$A$4&gt;=MONTH(S149),VLOOKUP(S149,'[8]Podklady MZ'!$R$2:$S$367,2,FALSE),NA())</f>
        <v>#N/A</v>
      </c>
      <c r="V149" s="178">
        <f>INDEX([5]PT!$AF$16:$AF$381,DATE(2016,MONTH(S149),DAY(S149))-DATE(2016,1,1)+1,1)</f>
        <v>0</v>
      </c>
      <c r="W149" s="178">
        <f>IF(T!$A$4&lt;MONTH(S149),VLOOKUP(S149,'[8]Podklady MZ'!$R$2:$S$367,2,FALSE),NA())</f>
        <v>12.903225806451612</v>
      </c>
    </row>
    <row r="150" spans="19:23" x14ac:dyDescent="0.2">
      <c r="S150" s="77">
        <f t="shared" si="2"/>
        <v>42153</v>
      </c>
      <c r="T150" s="78">
        <f>INDEX([12]ČR!$D$18:$D$383,DATE(2016,MONTH(S150),DAY(S150))-DATE(2016,1,1)+1,1)/1000000</f>
        <v>13.226022867156464</v>
      </c>
      <c r="U150" s="78" t="e">
        <f>IF(T!$A$4&gt;=MONTH(S150),VLOOKUP(S150,'[8]Podklady MZ'!$R$2:$S$367,2,FALSE),NA())</f>
        <v>#N/A</v>
      </c>
      <c r="V150" s="178">
        <f>INDEX([5]PT!$AF$16:$AF$381,DATE(2016,MONTH(S150),DAY(S150))-DATE(2016,1,1)+1,1)</f>
        <v>0</v>
      </c>
      <c r="W150" s="178">
        <f>IF(T!$A$4&lt;MONTH(S150),VLOOKUP(S150,'[8]Podklady MZ'!$R$2:$S$367,2,FALSE),NA())</f>
        <v>12.903225806451612</v>
      </c>
    </row>
    <row r="151" spans="19:23" x14ac:dyDescent="0.2">
      <c r="S151" s="77">
        <f t="shared" si="2"/>
        <v>42154</v>
      </c>
      <c r="T151" s="78">
        <f>INDEX([12]ČR!$D$18:$D$383,DATE(2016,MONTH(S151),DAY(S151))-DATE(2016,1,1)+1,1)/1000000</f>
        <v>12.987815079649232</v>
      </c>
      <c r="U151" s="78" t="e">
        <f>IF(T!$A$4&gt;=MONTH(S151),VLOOKUP(S151,'[8]Podklady MZ'!$R$2:$S$367,2,FALSE),NA())</f>
        <v>#N/A</v>
      </c>
      <c r="V151" s="178">
        <f>INDEX([5]PT!$AF$16:$AF$381,DATE(2016,MONTH(S151),DAY(S151))-DATE(2016,1,1)+1,1)</f>
        <v>0</v>
      </c>
      <c r="W151" s="178">
        <f>IF(T!$A$4&lt;MONTH(S151),VLOOKUP(S151,'[8]Podklady MZ'!$R$2:$S$367,2,FALSE),NA())</f>
        <v>12.903225806451612</v>
      </c>
    </row>
    <row r="152" spans="19:23" x14ac:dyDescent="0.2">
      <c r="S152" s="77">
        <f t="shared" si="2"/>
        <v>42155</v>
      </c>
      <c r="T152" s="78">
        <f>INDEX([12]ČR!$D$18:$D$383,DATE(2016,MONTH(S152),DAY(S152))-DATE(2016,1,1)+1,1)/1000000</f>
        <v>10.185478109816755</v>
      </c>
      <c r="U152" s="78" t="e">
        <f>IF(T!$A$4&gt;=MONTH(S152),VLOOKUP(S152,'[8]Podklady MZ'!$R$2:$S$367,2,FALSE),NA())</f>
        <v>#N/A</v>
      </c>
      <c r="V152" s="178">
        <f>INDEX([5]PT!$AF$16:$AF$381,DATE(2016,MONTH(S152),DAY(S152))-DATE(2016,1,1)+1,1)</f>
        <v>0</v>
      </c>
      <c r="W152" s="178">
        <f>IF(T!$A$4&lt;MONTH(S152),VLOOKUP(S152,'[8]Podklady MZ'!$R$2:$S$367,2,FALSE),NA())</f>
        <v>12.903225806451612</v>
      </c>
    </row>
    <row r="153" spans="19:23" x14ac:dyDescent="0.2">
      <c r="S153" s="77">
        <f t="shared" si="2"/>
        <v>42156</v>
      </c>
      <c r="T153" s="78">
        <f>INDEX([12]ČR!$D$18:$D$383,DATE(2016,MONTH(S153),DAY(S153))-DATE(2016,1,1)+1,1)/1000000</f>
        <v>10.15248238828606</v>
      </c>
      <c r="U153" s="78" t="e">
        <f>IF(T!$A$4&gt;=MONTH(S153),VLOOKUP(S153,'[8]Podklady MZ'!$R$2:$S$367,2,FALSE),NA())</f>
        <v>#N/A</v>
      </c>
      <c r="V153" s="178">
        <f>INDEX([5]PT!$AF$16:$AF$381,DATE(2016,MONTH(S153),DAY(S153))-DATE(2016,1,1)+1,1)</f>
        <v>0</v>
      </c>
      <c r="W153" s="178">
        <f>IF(T!$A$4&lt;MONTH(S153),VLOOKUP(S153,'[8]Podklady MZ'!$R$2:$S$367,2,FALSE),NA())</f>
        <v>10.333333333333334</v>
      </c>
    </row>
    <row r="154" spans="19:23" x14ac:dyDescent="0.2">
      <c r="S154" s="77">
        <f t="shared" si="2"/>
        <v>42157</v>
      </c>
      <c r="T154" s="78">
        <f>INDEX([12]ČR!$D$18:$D$383,DATE(2016,MONTH(S154),DAY(S154))-DATE(2016,1,1)+1,1)/1000000</f>
        <v>11.904707076860088</v>
      </c>
      <c r="U154" s="78" t="e">
        <f>IF(T!$A$4&gt;=MONTH(S154),VLOOKUP(S154,'[8]Podklady MZ'!$R$2:$S$367,2,FALSE),NA())</f>
        <v>#N/A</v>
      </c>
      <c r="V154" s="178">
        <f>INDEX([5]PT!$AF$16:$AF$381,DATE(2016,MONTH(S154),DAY(S154))-DATE(2016,1,1)+1,1)</f>
        <v>0</v>
      </c>
      <c r="W154" s="178">
        <f>IF(T!$A$4&lt;MONTH(S154),VLOOKUP(S154,'[8]Podklady MZ'!$R$2:$S$367,2,FALSE),NA())</f>
        <v>10.333333333333334</v>
      </c>
    </row>
    <row r="155" spans="19:23" x14ac:dyDescent="0.2">
      <c r="S155" s="77">
        <f t="shared" si="2"/>
        <v>42158</v>
      </c>
      <c r="T155" s="78">
        <f>INDEX([12]ČR!$D$18:$D$383,DATE(2016,MONTH(S155),DAY(S155))-DATE(2016,1,1)+1,1)/1000000</f>
        <v>12.10654944422572</v>
      </c>
      <c r="U155" s="78" t="e">
        <f>IF(T!$A$4&gt;=MONTH(S155),VLOOKUP(S155,'[8]Podklady MZ'!$R$2:$S$367,2,FALSE),NA())</f>
        <v>#N/A</v>
      </c>
      <c r="V155" s="178">
        <f>INDEX([5]PT!$AF$16:$AF$381,DATE(2016,MONTH(S155),DAY(S155))-DATE(2016,1,1)+1,1)</f>
        <v>0</v>
      </c>
      <c r="W155" s="178">
        <f>IF(T!$A$4&lt;MONTH(S155),VLOOKUP(S155,'[8]Podklady MZ'!$R$2:$S$367,2,FALSE),NA())</f>
        <v>10.333333333333334</v>
      </c>
    </row>
    <row r="156" spans="19:23" x14ac:dyDescent="0.2">
      <c r="S156" s="77">
        <f t="shared" si="2"/>
        <v>42159</v>
      </c>
      <c r="T156" s="78">
        <f>INDEX([12]ČR!$D$18:$D$383,DATE(2016,MONTH(S156),DAY(S156))-DATE(2016,1,1)+1,1)/1000000</f>
        <v>11.447167474483827</v>
      </c>
      <c r="U156" s="78" t="e">
        <f>IF(T!$A$4&gt;=MONTH(S156),VLOOKUP(S156,'[8]Podklady MZ'!$R$2:$S$367,2,FALSE),NA())</f>
        <v>#N/A</v>
      </c>
      <c r="V156" s="178">
        <f>INDEX([5]PT!$AF$16:$AF$381,DATE(2016,MONTH(S156),DAY(S156))-DATE(2016,1,1)+1,1)</f>
        <v>0</v>
      </c>
      <c r="W156" s="178">
        <f>IF(T!$A$4&lt;MONTH(S156),VLOOKUP(S156,'[8]Podklady MZ'!$R$2:$S$367,2,FALSE),NA())</f>
        <v>10.333333333333334</v>
      </c>
    </row>
    <row r="157" spans="19:23" x14ac:dyDescent="0.2">
      <c r="S157" s="77">
        <f t="shared" si="2"/>
        <v>42160</v>
      </c>
      <c r="T157" s="78">
        <f>INDEX([12]ČR!$D$18:$D$383,DATE(2016,MONTH(S157),DAY(S157))-DATE(2016,1,1)+1,1)/1000000</f>
        <v>11.437560478995836</v>
      </c>
      <c r="U157" s="78" t="e">
        <f>IF(T!$A$4&gt;=MONTH(S157),VLOOKUP(S157,'[8]Podklady MZ'!$R$2:$S$367,2,FALSE),NA())</f>
        <v>#N/A</v>
      </c>
      <c r="V157" s="178">
        <f>INDEX([5]PT!$AF$16:$AF$381,DATE(2016,MONTH(S157),DAY(S157))-DATE(2016,1,1)+1,1)</f>
        <v>0</v>
      </c>
      <c r="W157" s="178">
        <f>IF(T!$A$4&lt;MONTH(S157),VLOOKUP(S157,'[8]Podklady MZ'!$R$2:$S$367,2,FALSE),NA())</f>
        <v>10.333333333333334</v>
      </c>
    </row>
    <row r="158" spans="19:23" x14ac:dyDescent="0.2">
      <c r="S158" s="77">
        <f t="shared" si="2"/>
        <v>42161</v>
      </c>
      <c r="T158" s="78">
        <f>INDEX([12]ČR!$D$18:$D$383,DATE(2016,MONTH(S158),DAY(S158))-DATE(2016,1,1)+1,1)/1000000</f>
        <v>10.650905861959252</v>
      </c>
      <c r="U158" s="78" t="e">
        <f>IF(T!$A$4&gt;=MONTH(S158),VLOOKUP(S158,'[8]Podklady MZ'!$R$2:$S$367,2,FALSE),NA())</f>
        <v>#N/A</v>
      </c>
      <c r="V158" s="178">
        <f>INDEX([5]PT!$AF$16:$AF$381,DATE(2016,MONTH(S158),DAY(S158))-DATE(2016,1,1)+1,1)</f>
        <v>0</v>
      </c>
      <c r="W158" s="178">
        <f>IF(T!$A$4&lt;MONTH(S158),VLOOKUP(S158,'[8]Podklady MZ'!$R$2:$S$367,2,FALSE),NA())</f>
        <v>10.333333333333334</v>
      </c>
    </row>
    <row r="159" spans="19:23" x14ac:dyDescent="0.2">
      <c r="S159" s="77">
        <f t="shared" si="2"/>
        <v>42162</v>
      </c>
      <c r="T159" s="78">
        <f>INDEX([12]ČR!$D$18:$D$383,DATE(2016,MONTH(S159),DAY(S159))-DATE(2016,1,1)+1,1)/1000000</f>
        <v>8.3705384507673894</v>
      </c>
      <c r="U159" s="78" t="e">
        <f>IF(T!$A$4&gt;=MONTH(S159),VLOOKUP(S159,'[8]Podklady MZ'!$R$2:$S$367,2,FALSE),NA())</f>
        <v>#N/A</v>
      </c>
      <c r="V159" s="178">
        <f>INDEX([5]PT!$AF$16:$AF$381,DATE(2016,MONTH(S159),DAY(S159))-DATE(2016,1,1)+1,1)</f>
        <v>0</v>
      </c>
      <c r="W159" s="178">
        <f>IF(T!$A$4&lt;MONTH(S159),VLOOKUP(S159,'[8]Podklady MZ'!$R$2:$S$367,2,FALSE),NA())</f>
        <v>10.333333333333334</v>
      </c>
    </row>
    <row r="160" spans="19:23" x14ac:dyDescent="0.2">
      <c r="S160" s="77">
        <f t="shared" si="2"/>
        <v>42163</v>
      </c>
      <c r="T160" s="78">
        <f>INDEX([12]ČR!$D$18:$D$383,DATE(2016,MONTH(S160),DAY(S160))-DATE(2016,1,1)+1,1)/1000000</f>
        <v>8.5228338222967643</v>
      </c>
      <c r="U160" s="78" t="e">
        <f>IF(T!$A$4&gt;=MONTH(S160),VLOOKUP(S160,'[8]Podklady MZ'!$R$2:$S$367,2,FALSE),NA())</f>
        <v>#N/A</v>
      </c>
      <c r="V160" s="178">
        <f>INDEX([5]PT!$AF$16:$AF$381,DATE(2016,MONTH(S160),DAY(S160))-DATE(2016,1,1)+1,1)</f>
        <v>0</v>
      </c>
      <c r="W160" s="178">
        <f>IF(T!$A$4&lt;MONTH(S160),VLOOKUP(S160,'[8]Podklady MZ'!$R$2:$S$367,2,FALSE),NA())</f>
        <v>10.333333333333334</v>
      </c>
    </row>
    <row r="161" spans="19:23" x14ac:dyDescent="0.2">
      <c r="S161" s="77">
        <f t="shared" si="2"/>
        <v>42164</v>
      </c>
      <c r="T161" s="78">
        <f>INDEX([12]ČR!$D$18:$D$383,DATE(2016,MONTH(S161),DAY(S161))-DATE(2016,1,1)+1,1)/1000000</f>
        <v>9.9708936924618925</v>
      </c>
      <c r="U161" s="78" t="e">
        <f>IF(T!$A$4&gt;=MONTH(S161),VLOOKUP(S161,'[8]Podklady MZ'!$R$2:$S$367,2,FALSE),NA())</f>
        <v>#N/A</v>
      </c>
      <c r="V161" s="178">
        <f>INDEX([5]PT!$AF$16:$AF$381,DATE(2016,MONTH(S161),DAY(S161))-DATE(2016,1,1)+1,1)</f>
        <v>0</v>
      </c>
      <c r="W161" s="178">
        <f>IF(T!$A$4&lt;MONTH(S161),VLOOKUP(S161,'[8]Podklady MZ'!$R$2:$S$367,2,FALSE),NA())</f>
        <v>10.333333333333334</v>
      </c>
    </row>
    <row r="162" spans="19:23" x14ac:dyDescent="0.2">
      <c r="S162" s="77">
        <f t="shared" si="2"/>
        <v>42165</v>
      </c>
      <c r="T162" s="78">
        <f>INDEX([12]ČR!$D$18:$D$383,DATE(2016,MONTH(S162),DAY(S162))-DATE(2016,1,1)+1,1)/1000000</f>
        <v>10.027914164128793</v>
      </c>
      <c r="U162" s="78" t="e">
        <f>IF(T!$A$4&gt;=MONTH(S162),VLOOKUP(S162,'[8]Podklady MZ'!$R$2:$S$367,2,FALSE),NA())</f>
        <v>#N/A</v>
      </c>
      <c r="V162" s="178">
        <f>INDEX([5]PT!$AF$16:$AF$381,DATE(2016,MONTH(S162),DAY(S162))-DATE(2016,1,1)+1,1)</f>
        <v>0</v>
      </c>
      <c r="W162" s="178">
        <f>IF(T!$A$4&lt;MONTH(S162),VLOOKUP(S162,'[8]Podklady MZ'!$R$2:$S$367,2,FALSE),NA())</f>
        <v>10.333333333333334</v>
      </c>
    </row>
    <row r="163" spans="19:23" x14ac:dyDescent="0.2">
      <c r="S163" s="77">
        <f t="shared" si="2"/>
        <v>42166</v>
      </c>
      <c r="T163" s="78">
        <f>INDEX([12]ČR!$D$18:$D$383,DATE(2016,MONTH(S163),DAY(S163))-DATE(2016,1,1)+1,1)/1000000</f>
        <v>10.043812557867874</v>
      </c>
      <c r="U163" s="78" t="e">
        <f>IF(T!$A$4&gt;=MONTH(S163),VLOOKUP(S163,'[8]Podklady MZ'!$R$2:$S$367,2,FALSE),NA())</f>
        <v>#N/A</v>
      </c>
      <c r="V163" s="178">
        <f>INDEX([5]PT!$AF$16:$AF$381,DATE(2016,MONTH(S163),DAY(S163))-DATE(2016,1,1)+1,1)</f>
        <v>0</v>
      </c>
      <c r="W163" s="178">
        <f>IF(T!$A$4&lt;MONTH(S163),VLOOKUP(S163,'[8]Podklady MZ'!$R$2:$S$367,2,FALSE),NA())</f>
        <v>10.333333333333334</v>
      </c>
    </row>
    <row r="164" spans="19:23" x14ac:dyDescent="0.2">
      <c r="S164" s="77">
        <f t="shared" si="2"/>
        <v>42167</v>
      </c>
      <c r="T164" s="78">
        <f>INDEX([12]ČR!$D$18:$D$383,DATE(2016,MONTH(S164),DAY(S164))-DATE(2016,1,1)+1,1)/1000000</f>
        <v>10.241127851957762</v>
      </c>
      <c r="U164" s="78" t="e">
        <f>IF(T!$A$4&gt;=MONTH(S164),VLOOKUP(S164,'[8]Podklady MZ'!$R$2:$S$367,2,FALSE),NA())</f>
        <v>#N/A</v>
      </c>
      <c r="V164" s="178">
        <f>INDEX([5]PT!$AF$16:$AF$381,DATE(2016,MONTH(S164),DAY(S164))-DATE(2016,1,1)+1,1)</f>
        <v>0</v>
      </c>
      <c r="W164" s="178">
        <f>IF(T!$A$4&lt;MONTH(S164),VLOOKUP(S164,'[8]Podklady MZ'!$R$2:$S$367,2,FALSE),NA())</f>
        <v>10.333333333333334</v>
      </c>
    </row>
    <row r="165" spans="19:23" x14ac:dyDescent="0.2">
      <c r="S165" s="77">
        <f t="shared" si="2"/>
        <v>42168</v>
      </c>
      <c r="T165" s="78">
        <f>INDEX([12]ČR!$D$18:$D$383,DATE(2016,MONTH(S165),DAY(S165))-DATE(2016,1,1)+1,1)/1000000</f>
        <v>9.9643058678718344</v>
      </c>
      <c r="U165" s="78" t="e">
        <f>IF(T!$A$4&gt;=MONTH(S165),VLOOKUP(S165,'[8]Podklady MZ'!$R$2:$S$367,2,FALSE),NA())</f>
        <v>#N/A</v>
      </c>
      <c r="V165" s="178">
        <f>INDEX([5]PT!$AF$16:$AF$381,DATE(2016,MONTH(S165),DAY(S165))-DATE(2016,1,1)+1,1)</f>
        <v>0</v>
      </c>
      <c r="W165" s="178">
        <f>IF(T!$A$4&lt;MONTH(S165),VLOOKUP(S165,'[8]Podklady MZ'!$R$2:$S$367,2,FALSE),NA())</f>
        <v>10.333333333333334</v>
      </c>
    </row>
    <row r="166" spans="19:23" x14ac:dyDescent="0.2">
      <c r="S166" s="77">
        <f t="shared" si="2"/>
        <v>42169</v>
      </c>
      <c r="T166" s="78">
        <f>INDEX([12]ČR!$D$18:$D$383,DATE(2016,MONTH(S166),DAY(S166))-DATE(2016,1,1)+1,1)/1000000</f>
        <v>8.3940769619728677</v>
      </c>
      <c r="U166" s="78" t="e">
        <f>IF(T!$A$4&gt;=MONTH(S166),VLOOKUP(S166,'[8]Podklady MZ'!$R$2:$S$367,2,FALSE),NA())</f>
        <v>#N/A</v>
      </c>
      <c r="V166" s="178">
        <f>INDEX([5]PT!$AF$16:$AF$381,DATE(2016,MONTH(S166),DAY(S166))-DATE(2016,1,1)+1,1)</f>
        <v>0</v>
      </c>
      <c r="W166" s="178">
        <f>IF(T!$A$4&lt;MONTH(S166),VLOOKUP(S166,'[8]Podklady MZ'!$R$2:$S$367,2,FALSE),NA())</f>
        <v>10.333333333333334</v>
      </c>
    </row>
    <row r="167" spans="19:23" x14ac:dyDescent="0.2">
      <c r="S167" s="77">
        <f t="shared" si="2"/>
        <v>42170</v>
      </c>
      <c r="T167" s="78">
        <f>INDEX([12]ČR!$D$18:$D$383,DATE(2016,MONTH(S167),DAY(S167))-DATE(2016,1,1)+1,1)/1000000</f>
        <v>8.9615799963818166</v>
      </c>
      <c r="U167" s="78" t="e">
        <f>IF(T!$A$4&gt;=MONTH(S167),VLOOKUP(S167,'[8]Podklady MZ'!$R$2:$S$367,2,FALSE),NA())</f>
        <v>#N/A</v>
      </c>
      <c r="V167" s="178">
        <f>INDEX([5]PT!$AF$16:$AF$381,DATE(2016,MONTH(S167),DAY(S167))-DATE(2016,1,1)+1,1)</f>
        <v>0</v>
      </c>
      <c r="W167" s="178">
        <f>IF(T!$A$4&lt;MONTH(S167),VLOOKUP(S167,'[8]Podklady MZ'!$R$2:$S$367,2,FALSE),NA())</f>
        <v>10.333333333333334</v>
      </c>
    </row>
    <row r="168" spans="19:23" x14ac:dyDescent="0.2">
      <c r="S168" s="77">
        <f t="shared" si="2"/>
        <v>42171</v>
      </c>
      <c r="T168" s="78">
        <f>INDEX([12]ČR!$D$18:$D$383,DATE(2016,MONTH(S168),DAY(S168))-DATE(2016,1,1)+1,1)/1000000</f>
        <v>10.34683262302074</v>
      </c>
      <c r="U168" s="78" t="e">
        <f>IF(T!$A$4&gt;=MONTH(S168),VLOOKUP(S168,'[8]Podklady MZ'!$R$2:$S$367,2,FALSE),NA())</f>
        <v>#N/A</v>
      </c>
      <c r="V168" s="178">
        <f>INDEX([5]PT!$AF$16:$AF$381,DATE(2016,MONTH(S168),DAY(S168))-DATE(2016,1,1)+1,1)</f>
        <v>0</v>
      </c>
      <c r="W168" s="178">
        <f>IF(T!$A$4&lt;MONTH(S168),VLOOKUP(S168,'[8]Podklady MZ'!$R$2:$S$367,2,FALSE),NA())</f>
        <v>10.333333333333334</v>
      </c>
    </row>
    <row r="169" spans="19:23" x14ac:dyDescent="0.2">
      <c r="S169" s="77">
        <f t="shared" si="2"/>
        <v>42172</v>
      </c>
      <c r="T169" s="78">
        <f>INDEX([12]ČR!$D$18:$D$383,DATE(2016,MONTH(S169),DAY(S169))-DATE(2016,1,1)+1,1)/1000000</f>
        <v>10.760986581887041</v>
      </c>
      <c r="U169" s="78" t="e">
        <f>IF(T!$A$4&gt;=MONTH(S169),VLOOKUP(S169,'[8]Podklady MZ'!$R$2:$S$367,2,FALSE),NA())</f>
        <v>#N/A</v>
      </c>
      <c r="V169" s="178">
        <f>INDEX([5]PT!$AF$16:$AF$381,DATE(2016,MONTH(S169),DAY(S169))-DATE(2016,1,1)+1,1)</f>
        <v>0</v>
      </c>
      <c r="W169" s="178">
        <f>IF(T!$A$4&lt;MONTH(S169),VLOOKUP(S169,'[8]Podklady MZ'!$R$2:$S$367,2,FALSE),NA())</f>
        <v>10.333333333333334</v>
      </c>
    </row>
    <row r="170" spans="19:23" x14ac:dyDescent="0.2">
      <c r="S170" s="77">
        <f t="shared" si="2"/>
        <v>42173</v>
      </c>
      <c r="T170" s="78">
        <f>INDEX([12]ČR!$D$18:$D$383,DATE(2016,MONTH(S170),DAY(S170))-DATE(2016,1,1)+1,1)/1000000</f>
        <v>10.600526513886642</v>
      </c>
      <c r="U170" s="78" t="e">
        <f>IF(T!$A$4&gt;=MONTH(S170),VLOOKUP(S170,'[8]Podklady MZ'!$R$2:$S$367,2,FALSE),NA())</f>
        <v>#N/A</v>
      </c>
      <c r="V170" s="178">
        <f>INDEX([5]PT!$AF$16:$AF$381,DATE(2016,MONTH(S170),DAY(S170))-DATE(2016,1,1)+1,1)</f>
        <v>0</v>
      </c>
      <c r="W170" s="178">
        <f>IF(T!$A$4&lt;MONTH(S170),VLOOKUP(S170,'[8]Podklady MZ'!$R$2:$S$367,2,FALSE),NA())</f>
        <v>10.333333333333334</v>
      </c>
    </row>
    <row r="171" spans="19:23" x14ac:dyDescent="0.2">
      <c r="S171" s="77">
        <f t="shared" si="2"/>
        <v>42174</v>
      </c>
      <c r="T171" s="78">
        <f>INDEX([12]ČR!$D$18:$D$383,DATE(2016,MONTH(S171),DAY(S171))-DATE(2016,1,1)+1,1)/1000000</f>
        <v>10.714300434425487</v>
      </c>
      <c r="U171" s="78" t="e">
        <f>IF(T!$A$4&gt;=MONTH(S171),VLOOKUP(S171,'[8]Podklady MZ'!$R$2:$S$367,2,FALSE),NA())</f>
        <v>#N/A</v>
      </c>
      <c r="V171" s="178">
        <f>INDEX([5]PT!$AF$16:$AF$381,DATE(2016,MONTH(S171),DAY(S171))-DATE(2016,1,1)+1,1)</f>
        <v>0</v>
      </c>
      <c r="W171" s="178">
        <f>IF(T!$A$4&lt;MONTH(S171),VLOOKUP(S171,'[8]Podklady MZ'!$R$2:$S$367,2,FALSE),NA())</f>
        <v>10.333333333333334</v>
      </c>
    </row>
    <row r="172" spans="19:23" x14ac:dyDescent="0.2">
      <c r="S172" s="77">
        <f t="shared" si="2"/>
        <v>42175</v>
      </c>
      <c r="T172" s="78">
        <f>INDEX([12]ČR!$D$18:$D$383,DATE(2016,MONTH(S172),DAY(S172))-DATE(2016,1,1)+1,1)/1000000</f>
        <v>10.506713240675518</v>
      </c>
      <c r="U172" s="78" t="e">
        <f>IF(T!$A$4&gt;=MONTH(S172),VLOOKUP(S172,'[8]Podklady MZ'!$R$2:$S$367,2,FALSE),NA())</f>
        <v>#N/A</v>
      </c>
      <c r="V172" s="178">
        <f>INDEX([5]PT!$AF$16:$AF$381,DATE(2016,MONTH(S172),DAY(S172))-DATE(2016,1,1)+1,1)</f>
        <v>0</v>
      </c>
      <c r="W172" s="178">
        <f>IF(T!$A$4&lt;MONTH(S172),VLOOKUP(S172,'[8]Podklady MZ'!$R$2:$S$367,2,FALSE),NA())</f>
        <v>10.333333333333334</v>
      </c>
    </row>
    <row r="173" spans="19:23" x14ac:dyDescent="0.2">
      <c r="S173" s="77">
        <f t="shared" si="2"/>
        <v>42176</v>
      </c>
      <c r="T173" s="78">
        <f>INDEX([12]ČR!$D$18:$D$383,DATE(2016,MONTH(S173),DAY(S173))-DATE(2016,1,1)+1,1)/1000000</f>
        <v>9.0132577703847474</v>
      </c>
      <c r="U173" s="78" t="e">
        <f>IF(T!$A$4&gt;=MONTH(S173),VLOOKUP(S173,'[8]Podklady MZ'!$R$2:$S$367,2,FALSE),NA())</f>
        <v>#N/A</v>
      </c>
      <c r="V173" s="178">
        <f>INDEX([5]PT!$AF$16:$AF$381,DATE(2016,MONTH(S173),DAY(S173))-DATE(2016,1,1)+1,1)</f>
        <v>0</v>
      </c>
      <c r="W173" s="178">
        <f>IF(T!$A$4&lt;MONTH(S173),VLOOKUP(S173,'[8]Podklady MZ'!$R$2:$S$367,2,FALSE),NA())</f>
        <v>10.333333333333334</v>
      </c>
    </row>
    <row r="174" spans="19:23" x14ac:dyDescent="0.2">
      <c r="S174" s="77">
        <f t="shared" si="2"/>
        <v>42177</v>
      </c>
      <c r="T174" s="78">
        <f>INDEX([12]ČR!$D$18:$D$383,DATE(2016,MONTH(S174),DAY(S174))-DATE(2016,1,1)+1,1)/1000000</f>
        <v>9.3324508634722037</v>
      </c>
      <c r="U174" s="78" t="e">
        <f>IF(T!$A$4&gt;=MONTH(S174),VLOOKUP(S174,'[8]Podklady MZ'!$R$2:$S$367,2,FALSE),NA())</f>
        <v>#N/A</v>
      </c>
      <c r="V174" s="178">
        <f>INDEX([5]PT!$AF$16:$AF$381,DATE(2016,MONTH(S174),DAY(S174))-DATE(2016,1,1)+1,1)</f>
        <v>0</v>
      </c>
      <c r="W174" s="178">
        <f>IF(T!$A$4&lt;MONTH(S174),VLOOKUP(S174,'[8]Podklady MZ'!$R$2:$S$367,2,FALSE),NA())</f>
        <v>10.333333333333334</v>
      </c>
    </row>
    <row r="175" spans="19:23" x14ac:dyDescent="0.2">
      <c r="S175" s="77">
        <f t="shared" si="2"/>
        <v>42178</v>
      </c>
      <c r="T175" s="78">
        <f>INDEX([12]ČR!$D$18:$D$383,DATE(2016,MONTH(S175),DAY(S175))-DATE(2016,1,1)+1,1)/1000000</f>
        <v>10.792906177955933</v>
      </c>
      <c r="U175" s="78" t="e">
        <f>IF(T!$A$4&gt;=MONTH(S175),VLOOKUP(S175,'[8]Podklady MZ'!$R$2:$S$367,2,FALSE),NA())</f>
        <v>#N/A</v>
      </c>
      <c r="V175" s="178">
        <f>INDEX([5]PT!$AF$16:$AF$381,DATE(2016,MONTH(S175),DAY(S175))-DATE(2016,1,1)+1,1)</f>
        <v>0</v>
      </c>
      <c r="W175" s="178">
        <f>IF(T!$A$4&lt;MONTH(S175),VLOOKUP(S175,'[8]Podklady MZ'!$R$2:$S$367,2,FALSE),NA())</f>
        <v>10.333333333333334</v>
      </c>
    </row>
    <row r="176" spans="19:23" x14ac:dyDescent="0.2">
      <c r="S176" s="77">
        <f t="shared" si="2"/>
        <v>42179</v>
      </c>
      <c r="T176" s="78">
        <f>INDEX([12]ČR!$D$18:$D$383,DATE(2016,MONTH(S176),DAY(S176))-DATE(2016,1,1)+1,1)/1000000</f>
        <v>10.892712800524903</v>
      </c>
      <c r="U176" s="78" t="e">
        <f>IF(T!$A$4&gt;=MONTH(S176),VLOOKUP(S176,'[8]Podklady MZ'!$R$2:$S$367,2,FALSE),NA())</f>
        <v>#N/A</v>
      </c>
      <c r="V176" s="178">
        <f>INDEX([5]PT!$AF$16:$AF$381,DATE(2016,MONTH(S176),DAY(S176))-DATE(2016,1,1)+1,1)</f>
        <v>0</v>
      </c>
      <c r="W176" s="178">
        <f>IF(T!$A$4&lt;MONTH(S176),VLOOKUP(S176,'[8]Podklady MZ'!$R$2:$S$367,2,FALSE),NA())</f>
        <v>10.333333333333334</v>
      </c>
    </row>
    <row r="177" spans="19:23" x14ac:dyDescent="0.2">
      <c r="S177" s="77">
        <f t="shared" si="2"/>
        <v>42180</v>
      </c>
      <c r="T177" s="78">
        <f>INDEX([12]ČR!$D$18:$D$383,DATE(2016,MONTH(S177),DAY(S177))-DATE(2016,1,1)+1,1)/1000000</f>
        <v>11.272654750154253</v>
      </c>
      <c r="U177" s="78" t="e">
        <f>IF(T!$A$4&gt;=MONTH(S177),VLOOKUP(S177,'[8]Podklady MZ'!$R$2:$S$367,2,FALSE),NA())</f>
        <v>#N/A</v>
      </c>
      <c r="V177" s="178">
        <f>INDEX([5]PT!$AF$16:$AF$381,DATE(2016,MONTH(S177),DAY(S177))-DATE(2016,1,1)+1,1)</f>
        <v>0</v>
      </c>
      <c r="W177" s="178">
        <f>IF(T!$A$4&lt;MONTH(S177),VLOOKUP(S177,'[8]Podklady MZ'!$R$2:$S$367,2,FALSE),NA())</f>
        <v>10.333333333333334</v>
      </c>
    </row>
    <row r="178" spans="19:23" x14ac:dyDescent="0.2">
      <c r="S178" s="77">
        <f t="shared" si="2"/>
        <v>42181</v>
      </c>
      <c r="T178" s="78">
        <f>INDEX([12]ČR!$D$18:$D$383,DATE(2016,MONTH(S178),DAY(S178))-DATE(2016,1,1)+1,1)/1000000</f>
        <v>11.411749418376143</v>
      </c>
      <c r="U178" s="78" t="e">
        <f>IF(T!$A$4&gt;=MONTH(S178),VLOOKUP(S178,'[8]Podklady MZ'!$R$2:$S$367,2,FALSE),NA())</f>
        <v>#N/A</v>
      </c>
      <c r="V178" s="178">
        <f>INDEX([5]PT!$AF$16:$AF$381,DATE(2016,MONTH(S178),DAY(S178))-DATE(2016,1,1)+1,1)</f>
        <v>0</v>
      </c>
      <c r="W178" s="178">
        <f>IF(T!$A$4&lt;MONTH(S178),VLOOKUP(S178,'[8]Podklady MZ'!$R$2:$S$367,2,FALSE),NA())</f>
        <v>10.333333333333334</v>
      </c>
    </row>
    <row r="179" spans="19:23" x14ac:dyDescent="0.2">
      <c r="S179" s="77">
        <f t="shared" si="2"/>
        <v>42182</v>
      </c>
      <c r="T179" s="78">
        <f>INDEX([12]ČR!$D$18:$D$383,DATE(2016,MONTH(S179),DAY(S179))-DATE(2016,1,1)+1,1)/1000000</f>
        <v>10.932077565583153</v>
      </c>
      <c r="U179" s="78" t="e">
        <f>IF(T!$A$4&gt;=MONTH(S179),VLOOKUP(S179,'[8]Podklady MZ'!$R$2:$S$367,2,FALSE),NA())</f>
        <v>#N/A</v>
      </c>
      <c r="V179" s="178">
        <f>INDEX([5]PT!$AF$16:$AF$381,DATE(2016,MONTH(S179),DAY(S179))-DATE(2016,1,1)+1,1)</f>
        <v>0</v>
      </c>
      <c r="W179" s="178">
        <f>IF(T!$A$4&lt;MONTH(S179),VLOOKUP(S179,'[8]Podklady MZ'!$R$2:$S$367,2,FALSE),NA())</f>
        <v>10.333333333333334</v>
      </c>
    </row>
    <row r="180" spans="19:23" x14ac:dyDescent="0.2">
      <c r="S180" s="77">
        <f t="shared" si="2"/>
        <v>42183</v>
      </c>
      <c r="T180" s="78">
        <f>INDEX([12]ČR!$D$18:$D$383,DATE(2016,MONTH(S180),DAY(S180))-DATE(2016,1,1)+1,1)/1000000</f>
        <v>9.1549912511486013</v>
      </c>
      <c r="U180" s="78" t="e">
        <f>IF(T!$A$4&gt;=MONTH(S180),VLOOKUP(S180,'[8]Podklady MZ'!$R$2:$S$367,2,FALSE),NA())</f>
        <v>#N/A</v>
      </c>
      <c r="V180" s="178">
        <f>INDEX([5]PT!$AF$16:$AF$381,DATE(2016,MONTH(S180),DAY(S180))-DATE(2016,1,1)+1,1)</f>
        <v>0</v>
      </c>
      <c r="W180" s="178">
        <f>IF(T!$A$4&lt;MONTH(S180),VLOOKUP(S180,'[8]Podklady MZ'!$R$2:$S$367,2,FALSE),NA())</f>
        <v>10.333333333333334</v>
      </c>
    </row>
    <row r="181" spans="19:23" x14ac:dyDescent="0.2">
      <c r="S181" s="77">
        <f t="shared" si="2"/>
        <v>42184</v>
      </c>
      <c r="T181" s="78">
        <f>INDEX([12]ČR!$D$18:$D$383,DATE(2016,MONTH(S181),DAY(S181))-DATE(2016,1,1)+1,1)/1000000</f>
        <v>9.5811525882221371</v>
      </c>
      <c r="U181" s="78" t="e">
        <f>IF(T!$A$4&gt;=MONTH(S181),VLOOKUP(S181,'[8]Podklady MZ'!$R$2:$S$367,2,FALSE),NA())</f>
        <v>#N/A</v>
      </c>
      <c r="V181" s="178">
        <f>INDEX([5]PT!$AF$16:$AF$381,DATE(2016,MONTH(S181),DAY(S181))-DATE(2016,1,1)+1,1)</f>
        <v>0</v>
      </c>
      <c r="W181" s="178">
        <f>IF(T!$A$4&lt;MONTH(S181),VLOOKUP(S181,'[8]Podklady MZ'!$R$2:$S$367,2,FALSE),NA())</f>
        <v>10.333333333333334</v>
      </c>
    </row>
    <row r="182" spans="19:23" x14ac:dyDescent="0.2">
      <c r="S182" s="77">
        <f t="shared" si="2"/>
        <v>42185</v>
      </c>
      <c r="T182" s="78">
        <f>INDEX([12]ČR!$D$18:$D$383,DATE(2016,MONTH(S182),DAY(S182))-DATE(2016,1,1)+1,1)/1000000</f>
        <v>11.38615884981731</v>
      </c>
      <c r="U182" s="78" t="e">
        <f>IF(T!$A$4&gt;=MONTH(S182),VLOOKUP(S182,'[8]Podklady MZ'!$R$2:$S$367,2,FALSE),NA())</f>
        <v>#N/A</v>
      </c>
      <c r="V182" s="178">
        <f>INDEX([5]PT!$AF$16:$AF$381,DATE(2016,MONTH(S182),DAY(S182))-DATE(2016,1,1)+1,1)</f>
        <v>0</v>
      </c>
      <c r="W182" s="178">
        <f>IF(T!$A$4&lt;MONTH(S182),VLOOKUP(S182,'[8]Podklady MZ'!$R$2:$S$367,2,FALSE),NA())</f>
        <v>10.333333333333334</v>
      </c>
    </row>
    <row r="183" spans="19:23" x14ac:dyDescent="0.2">
      <c r="S183" s="77">
        <f t="shared" si="2"/>
        <v>42186</v>
      </c>
      <c r="T183" s="78">
        <f>INDEX([12]ČR!$D$18:$D$383,DATE(2016,MONTH(S183),DAY(S183))-DATE(2016,1,1)+1,1)/1000000</f>
        <v>11.058233001489125</v>
      </c>
      <c r="U183" s="78" t="e">
        <f>IF(T!$A$4&gt;=MONTH(S183),VLOOKUP(S183,'[8]Podklady MZ'!$R$2:$S$367,2,FALSE),NA())</f>
        <v>#N/A</v>
      </c>
      <c r="V183" s="178">
        <f>INDEX([5]PT!$AF$16:$AF$381,DATE(2016,MONTH(S183),DAY(S183))-DATE(2016,1,1)+1,1)</f>
        <v>0</v>
      </c>
      <c r="W183" s="178">
        <f>IF(T!$A$4&lt;MONTH(S183),VLOOKUP(S183,'[8]Podklady MZ'!$R$2:$S$367,2,FALSE),NA())</f>
        <v>9.3548387096774199</v>
      </c>
    </row>
    <row r="184" spans="19:23" x14ac:dyDescent="0.2">
      <c r="S184" s="77">
        <f t="shared" si="2"/>
        <v>42187</v>
      </c>
      <c r="T184" s="78">
        <f>INDEX([12]ČR!$D$18:$D$383,DATE(2016,MONTH(S184),DAY(S184))-DATE(2016,1,1)+1,1)/1000000</f>
        <v>10.945490729591199</v>
      </c>
      <c r="U184" s="78" t="e">
        <f>IF(T!$A$4&gt;=MONTH(S184),VLOOKUP(S184,'[8]Podklady MZ'!$R$2:$S$367,2,FALSE),NA())</f>
        <v>#N/A</v>
      </c>
      <c r="V184" s="178">
        <f>INDEX([5]PT!$AF$16:$AF$381,DATE(2016,MONTH(S184),DAY(S184))-DATE(2016,1,1)+1,1)</f>
        <v>0</v>
      </c>
      <c r="W184" s="178">
        <f>IF(T!$A$4&lt;MONTH(S184),VLOOKUP(S184,'[8]Podklady MZ'!$R$2:$S$367,2,FALSE),NA())</f>
        <v>9.3548387096774199</v>
      </c>
    </row>
    <row r="185" spans="19:23" x14ac:dyDescent="0.2">
      <c r="S185" s="77">
        <f t="shared" si="2"/>
        <v>42188</v>
      </c>
      <c r="T185" s="78">
        <f>INDEX([12]ČR!$D$18:$D$383,DATE(2016,MONTH(S185),DAY(S185))-DATE(2016,1,1)+1,1)/1000000</f>
        <v>10.600033656597127</v>
      </c>
      <c r="U185" s="78" t="e">
        <f>IF(T!$A$4&gt;=MONTH(S185),VLOOKUP(S185,'[8]Podklady MZ'!$R$2:$S$367,2,FALSE),NA())</f>
        <v>#N/A</v>
      </c>
      <c r="V185" s="178">
        <f>INDEX([5]PT!$AF$16:$AF$381,DATE(2016,MONTH(S185),DAY(S185))-DATE(2016,1,1)+1,1)</f>
        <v>0</v>
      </c>
      <c r="W185" s="178">
        <f>IF(T!$A$4&lt;MONTH(S185),VLOOKUP(S185,'[8]Podklady MZ'!$R$2:$S$367,2,FALSE),NA())</f>
        <v>9.3548387096774199</v>
      </c>
    </row>
    <row r="186" spans="19:23" x14ac:dyDescent="0.2">
      <c r="S186" s="77">
        <f t="shared" si="2"/>
        <v>42189</v>
      </c>
      <c r="T186" s="78">
        <f>INDEX([12]ČR!$D$18:$D$383,DATE(2016,MONTH(S186),DAY(S186))-DATE(2016,1,1)+1,1)/1000000</f>
        <v>11.433981814725991</v>
      </c>
      <c r="U186" s="78" t="e">
        <f>IF(T!$A$4&gt;=MONTH(S186),VLOOKUP(S186,'[8]Podklady MZ'!$R$2:$S$367,2,FALSE),NA())</f>
        <v>#N/A</v>
      </c>
      <c r="V186" s="178">
        <f>INDEX([5]PT!$AF$16:$AF$381,DATE(2016,MONTH(S186),DAY(S186))-DATE(2016,1,1)+1,1)</f>
        <v>0</v>
      </c>
      <c r="W186" s="178">
        <f>IF(T!$A$4&lt;MONTH(S186),VLOOKUP(S186,'[8]Podklady MZ'!$R$2:$S$367,2,FALSE),NA())</f>
        <v>9.3548387096774199</v>
      </c>
    </row>
    <row r="187" spans="19:23" x14ac:dyDescent="0.2">
      <c r="S187" s="77">
        <f t="shared" si="2"/>
        <v>42190</v>
      </c>
      <c r="T187" s="78">
        <f>INDEX([12]ČR!$D$18:$D$383,DATE(2016,MONTH(S187),DAY(S187))-DATE(2016,1,1)+1,1)/1000000</f>
        <v>8.4934816050281814</v>
      </c>
      <c r="U187" s="78" t="e">
        <f>IF(T!$A$4&gt;=MONTH(S187),VLOOKUP(S187,'[8]Podklady MZ'!$R$2:$S$367,2,FALSE),NA())</f>
        <v>#N/A</v>
      </c>
      <c r="V187" s="178">
        <f>INDEX([5]PT!$AF$16:$AF$381,DATE(2016,MONTH(S187),DAY(S187))-DATE(2016,1,1)+1,1)</f>
        <v>0</v>
      </c>
      <c r="W187" s="178">
        <f>IF(T!$A$4&lt;MONTH(S187),VLOOKUP(S187,'[8]Podklady MZ'!$R$2:$S$367,2,FALSE),NA())</f>
        <v>9.3548387096774199</v>
      </c>
    </row>
    <row r="188" spans="19:23" x14ac:dyDescent="0.2">
      <c r="S188" s="77">
        <f t="shared" si="2"/>
        <v>42191</v>
      </c>
      <c r="T188" s="78">
        <f>INDEX([12]ČR!$D$18:$D$383,DATE(2016,MONTH(S188),DAY(S188))-DATE(2016,1,1)+1,1)/1000000</f>
        <v>8.8607905231701647</v>
      </c>
      <c r="U188" s="78" t="e">
        <f>IF(T!$A$4&gt;=MONTH(S188),VLOOKUP(S188,'[8]Podklady MZ'!$R$2:$S$367,2,FALSE),NA())</f>
        <v>#N/A</v>
      </c>
      <c r="V188" s="178">
        <f>INDEX([5]PT!$AF$16:$AF$381,DATE(2016,MONTH(S188),DAY(S188))-DATE(2016,1,1)+1,1)</f>
        <v>0</v>
      </c>
      <c r="W188" s="178">
        <f>IF(T!$A$4&lt;MONTH(S188),VLOOKUP(S188,'[8]Podklady MZ'!$R$2:$S$367,2,FALSE),NA())</f>
        <v>9.3548387096774199</v>
      </c>
    </row>
    <row r="189" spans="19:23" x14ac:dyDescent="0.2">
      <c r="S189" s="77">
        <f t="shared" si="2"/>
        <v>42192</v>
      </c>
      <c r="T189" s="78">
        <f>INDEX([12]ČR!$D$18:$D$383,DATE(2016,MONTH(S189),DAY(S189))-DATE(2016,1,1)+1,1)/1000000</f>
        <v>10.346897647948978</v>
      </c>
      <c r="U189" s="78" t="e">
        <f>IF(T!$A$4&gt;=MONTH(S189),VLOOKUP(S189,'[8]Podklady MZ'!$R$2:$S$367,2,FALSE),NA())</f>
        <v>#N/A</v>
      </c>
      <c r="V189" s="178">
        <f>INDEX([5]PT!$AF$16:$AF$381,DATE(2016,MONTH(S189),DAY(S189))-DATE(2016,1,1)+1,1)</f>
        <v>0</v>
      </c>
      <c r="W189" s="178">
        <f>IF(T!$A$4&lt;MONTH(S189),VLOOKUP(S189,'[8]Podklady MZ'!$R$2:$S$367,2,FALSE),NA())</f>
        <v>9.3548387096774199</v>
      </c>
    </row>
    <row r="190" spans="19:23" x14ac:dyDescent="0.2">
      <c r="S190" s="77">
        <f t="shared" si="2"/>
        <v>42193</v>
      </c>
      <c r="T190" s="78">
        <f>INDEX([12]ČR!$D$18:$D$383,DATE(2016,MONTH(S190),DAY(S190))-DATE(2016,1,1)+1,1)/1000000</f>
        <v>10.041092456549947</v>
      </c>
      <c r="U190" s="78" t="e">
        <f>IF(T!$A$4&gt;=MONTH(S190),VLOOKUP(S190,'[8]Podklady MZ'!$R$2:$S$367,2,FALSE),NA())</f>
        <v>#N/A</v>
      </c>
      <c r="V190" s="178">
        <f>INDEX([5]PT!$AF$16:$AF$381,DATE(2016,MONTH(S190),DAY(S190))-DATE(2016,1,1)+1,1)</f>
        <v>0</v>
      </c>
      <c r="W190" s="178">
        <f>IF(T!$A$4&lt;MONTH(S190),VLOOKUP(S190,'[8]Podklady MZ'!$R$2:$S$367,2,FALSE),NA())</f>
        <v>9.3548387096774199</v>
      </c>
    </row>
    <row r="191" spans="19:23" x14ac:dyDescent="0.2">
      <c r="S191" s="77">
        <f t="shared" si="2"/>
        <v>42194</v>
      </c>
      <c r="T191" s="78">
        <f>INDEX([12]ČR!$D$18:$D$383,DATE(2016,MONTH(S191),DAY(S191))-DATE(2016,1,1)+1,1)/1000000</f>
        <v>10.599996532461025</v>
      </c>
      <c r="U191" s="78" t="e">
        <f>IF(T!$A$4&gt;=MONTH(S191),VLOOKUP(S191,'[8]Podklady MZ'!$R$2:$S$367,2,FALSE),NA())</f>
        <v>#N/A</v>
      </c>
      <c r="V191" s="178">
        <f>INDEX([5]PT!$AF$16:$AF$381,DATE(2016,MONTH(S191),DAY(S191))-DATE(2016,1,1)+1,1)</f>
        <v>0</v>
      </c>
      <c r="W191" s="178">
        <f>IF(T!$A$4&lt;MONTH(S191),VLOOKUP(S191,'[8]Podklady MZ'!$R$2:$S$367,2,FALSE),NA())</f>
        <v>9.3548387096774199</v>
      </c>
    </row>
    <row r="192" spans="19:23" x14ac:dyDescent="0.2">
      <c r="S192" s="77">
        <f t="shared" si="2"/>
        <v>42195</v>
      </c>
      <c r="T192" s="78">
        <f>INDEX([12]ČR!$D$18:$D$383,DATE(2016,MONTH(S192),DAY(S192))-DATE(2016,1,1)+1,1)/1000000</f>
        <v>12.823204404477016</v>
      </c>
      <c r="U192" s="78" t="e">
        <f>IF(T!$A$4&gt;=MONTH(S192),VLOOKUP(S192,'[8]Podklady MZ'!$R$2:$S$367,2,FALSE),NA())</f>
        <v>#N/A</v>
      </c>
      <c r="V192" s="178">
        <f>INDEX([5]PT!$AF$16:$AF$381,DATE(2016,MONTH(S192),DAY(S192))-DATE(2016,1,1)+1,1)</f>
        <v>0</v>
      </c>
      <c r="W192" s="178">
        <f>IF(T!$A$4&lt;MONTH(S192),VLOOKUP(S192,'[8]Podklady MZ'!$R$2:$S$367,2,FALSE),NA())</f>
        <v>9.3548387096774199</v>
      </c>
    </row>
    <row r="193" spans="19:23" x14ac:dyDescent="0.2">
      <c r="S193" s="77">
        <f t="shared" si="2"/>
        <v>42196</v>
      </c>
      <c r="T193" s="78">
        <f>INDEX([12]ČR!$D$18:$D$383,DATE(2016,MONTH(S193),DAY(S193))-DATE(2016,1,1)+1,1)/1000000</f>
        <v>12.0528210143035</v>
      </c>
      <c r="U193" s="78" t="e">
        <f>IF(T!$A$4&gt;=MONTH(S193),VLOOKUP(S193,'[8]Podklady MZ'!$R$2:$S$367,2,FALSE),NA())</f>
        <v>#N/A</v>
      </c>
      <c r="V193" s="178">
        <f>INDEX([5]PT!$AF$16:$AF$381,DATE(2016,MONTH(S193),DAY(S193))-DATE(2016,1,1)+1,1)</f>
        <v>0</v>
      </c>
      <c r="W193" s="178">
        <f>IF(T!$A$4&lt;MONTH(S193),VLOOKUP(S193,'[8]Podklady MZ'!$R$2:$S$367,2,FALSE),NA())</f>
        <v>9.3548387096774199</v>
      </c>
    </row>
    <row r="194" spans="19:23" x14ac:dyDescent="0.2">
      <c r="S194" s="77">
        <f t="shared" si="2"/>
        <v>42197</v>
      </c>
      <c r="T194" s="78">
        <f>INDEX([12]ČR!$D$18:$D$383,DATE(2016,MONTH(S194),DAY(S194))-DATE(2016,1,1)+1,1)/1000000</f>
        <v>9.5699875809135833</v>
      </c>
      <c r="U194" s="78" t="e">
        <f>IF(T!$A$4&gt;=MONTH(S194),VLOOKUP(S194,'[8]Podklady MZ'!$R$2:$S$367,2,FALSE),NA())</f>
        <v>#N/A</v>
      </c>
      <c r="V194" s="178">
        <f>INDEX([5]PT!$AF$16:$AF$381,DATE(2016,MONTH(S194),DAY(S194))-DATE(2016,1,1)+1,1)</f>
        <v>0</v>
      </c>
      <c r="W194" s="178">
        <f>IF(T!$A$4&lt;MONTH(S194),VLOOKUP(S194,'[8]Podklady MZ'!$R$2:$S$367,2,FALSE),NA())</f>
        <v>9.3548387096774199</v>
      </c>
    </row>
    <row r="195" spans="19:23" x14ac:dyDescent="0.2">
      <c r="S195" s="77">
        <f t="shared" si="2"/>
        <v>42198</v>
      </c>
      <c r="T195" s="78">
        <f>INDEX([12]ČR!$D$18:$D$383,DATE(2016,MONTH(S195),DAY(S195))-DATE(2016,1,1)+1,1)/1000000</f>
        <v>8.6325223799616904</v>
      </c>
      <c r="U195" s="78" t="e">
        <f>IF(T!$A$4&gt;=MONTH(S195),VLOOKUP(S195,'[8]Podklady MZ'!$R$2:$S$367,2,FALSE),NA())</f>
        <v>#N/A</v>
      </c>
      <c r="V195" s="178">
        <f>INDEX([5]PT!$AF$16:$AF$381,DATE(2016,MONTH(S195),DAY(S195))-DATE(2016,1,1)+1,1)</f>
        <v>0</v>
      </c>
      <c r="W195" s="178">
        <f>IF(T!$A$4&lt;MONTH(S195),VLOOKUP(S195,'[8]Podklady MZ'!$R$2:$S$367,2,FALSE),NA())</f>
        <v>9.3548387096774199</v>
      </c>
    </row>
    <row r="196" spans="19:23" x14ac:dyDescent="0.2">
      <c r="S196" s="77">
        <f t="shared" ref="S196:S259" si="3">S195+1</f>
        <v>42199</v>
      </c>
      <c r="T196" s="78">
        <f>INDEX([12]ČR!$D$18:$D$383,DATE(2016,MONTH(S196),DAY(S196))-DATE(2016,1,1)+1,1)/1000000</f>
        <v>10.023829644110265</v>
      </c>
      <c r="U196" s="78" t="e">
        <f>IF(T!$A$4&gt;=MONTH(S196),VLOOKUP(S196,'[8]Podklady MZ'!$R$2:$S$367,2,FALSE),NA())</f>
        <v>#N/A</v>
      </c>
      <c r="V196" s="178">
        <f>INDEX([5]PT!$AF$16:$AF$381,DATE(2016,MONTH(S196),DAY(S196))-DATE(2016,1,1)+1,1)</f>
        <v>0</v>
      </c>
      <c r="W196" s="178">
        <f>IF(T!$A$4&lt;MONTH(S196),VLOOKUP(S196,'[8]Podklady MZ'!$R$2:$S$367,2,FALSE),NA())</f>
        <v>9.3548387096774199</v>
      </c>
    </row>
    <row r="197" spans="19:23" x14ac:dyDescent="0.2">
      <c r="S197" s="77">
        <f t="shared" si="3"/>
        <v>42200</v>
      </c>
      <c r="T197" s="78">
        <f>INDEX([12]ČR!$D$18:$D$383,DATE(2016,MONTH(S197),DAY(S197))-DATE(2016,1,1)+1,1)/1000000</f>
        <v>9.9774835818951537</v>
      </c>
      <c r="U197" s="78" t="e">
        <f>IF(T!$A$4&gt;=MONTH(S197),VLOOKUP(S197,'[8]Podklady MZ'!$R$2:$S$367,2,FALSE),NA())</f>
        <v>#N/A</v>
      </c>
      <c r="V197" s="178">
        <f>INDEX([5]PT!$AF$16:$AF$381,DATE(2016,MONTH(S197),DAY(S197))-DATE(2016,1,1)+1,1)</f>
        <v>0</v>
      </c>
      <c r="W197" s="178">
        <f>IF(T!$A$4&lt;MONTH(S197),VLOOKUP(S197,'[8]Podklady MZ'!$R$2:$S$367,2,FALSE),NA())</f>
        <v>9.3548387096774199</v>
      </c>
    </row>
    <row r="198" spans="19:23" x14ac:dyDescent="0.2">
      <c r="S198" s="77">
        <f t="shared" si="3"/>
        <v>42201</v>
      </c>
      <c r="T198" s="78">
        <f>INDEX([12]ČR!$D$18:$D$383,DATE(2016,MONTH(S198),DAY(S198))-DATE(2016,1,1)+1,1)/1000000</f>
        <v>9.9337418028508626</v>
      </c>
      <c r="U198" s="78" t="e">
        <f>IF(T!$A$4&gt;=MONTH(S198),VLOOKUP(S198,'[8]Podklady MZ'!$R$2:$S$367,2,FALSE),NA())</f>
        <v>#N/A</v>
      </c>
      <c r="V198" s="178">
        <f>INDEX([5]PT!$AF$16:$AF$381,DATE(2016,MONTH(S198),DAY(S198))-DATE(2016,1,1)+1,1)</f>
        <v>0</v>
      </c>
      <c r="W198" s="178">
        <f>IF(T!$A$4&lt;MONTH(S198),VLOOKUP(S198,'[8]Podklady MZ'!$R$2:$S$367,2,FALSE),NA())</f>
        <v>9.3548387096774199</v>
      </c>
    </row>
    <row r="199" spans="19:23" x14ac:dyDescent="0.2">
      <c r="S199" s="77">
        <f t="shared" si="3"/>
        <v>42202</v>
      </c>
      <c r="T199" s="78">
        <f>INDEX([12]ČR!$D$18:$D$383,DATE(2016,MONTH(S199),DAY(S199))-DATE(2016,1,1)+1,1)/1000000</f>
        <v>9.8346370207824485</v>
      </c>
      <c r="U199" s="78" t="e">
        <f>IF(T!$A$4&gt;=MONTH(S199),VLOOKUP(S199,'[8]Podklady MZ'!$R$2:$S$367,2,FALSE),NA())</f>
        <v>#N/A</v>
      </c>
      <c r="V199" s="178">
        <f>INDEX([5]PT!$AF$16:$AF$381,DATE(2016,MONTH(S199),DAY(S199))-DATE(2016,1,1)+1,1)</f>
        <v>0</v>
      </c>
      <c r="W199" s="178">
        <f>IF(T!$A$4&lt;MONTH(S199),VLOOKUP(S199,'[8]Podklady MZ'!$R$2:$S$367,2,FALSE),NA())</f>
        <v>9.3548387096774199</v>
      </c>
    </row>
    <row r="200" spans="19:23" x14ac:dyDescent="0.2">
      <c r="S200" s="77">
        <f t="shared" si="3"/>
        <v>42203</v>
      </c>
      <c r="T200" s="78">
        <f>INDEX([12]ČR!$D$18:$D$383,DATE(2016,MONTH(S200),DAY(S200))-DATE(2016,1,1)+1,1)/1000000</f>
        <v>9.1789610460226054</v>
      </c>
      <c r="U200" s="78" t="e">
        <f>IF(T!$A$4&gt;=MONTH(S200),VLOOKUP(S200,'[8]Podklady MZ'!$R$2:$S$367,2,FALSE),NA())</f>
        <v>#N/A</v>
      </c>
      <c r="V200" s="178">
        <f>INDEX([5]PT!$AF$16:$AF$381,DATE(2016,MONTH(S200),DAY(S200))-DATE(2016,1,1)+1,1)</f>
        <v>0</v>
      </c>
      <c r="W200" s="178">
        <f>IF(T!$A$4&lt;MONTH(S200),VLOOKUP(S200,'[8]Podklady MZ'!$R$2:$S$367,2,FALSE),NA())</f>
        <v>9.3548387096774199</v>
      </c>
    </row>
    <row r="201" spans="19:23" x14ac:dyDescent="0.2">
      <c r="S201" s="77">
        <f t="shared" si="3"/>
        <v>42204</v>
      </c>
      <c r="T201" s="78">
        <f>INDEX([12]ČR!$D$18:$D$383,DATE(2016,MONTH(S201),DAY(S201))-DATE(2016,1,1)+1,1)/1000000</f>
        <v>7.6722663783172056</v>
      </c>
      <c r="U201" s="78" t="e">
        <f>IF(T!$A$4&gt;=MONTH(S201),VLOOKUP(S201,'[8]Podklady MZ'!$R$2:$S$367,2,FALSE),NA())</f>
        <v>#N/A</v>
      </c>
      <c r="V201" s="178">
        <f>INDEX([5]PT!$AF$16:$AF$381,DATE(2016,MONTH(S201),DAY(S201))-DATE(2016,1,1)+1,1)</f>
        <v>0</v>
      </c>
      <c r="W201" s="178">
        <f>IF(T!$A$4&lt;MONTH(S201),VLOOKUP(S201,'[8]Podklady MZ'!$R$2:$S$367,2,FALSE),NA())</f>
        <v>9.3548387096774199</v>
      </c>
    </row>
    <row r="202" spans="19:23" x14ac:dyDescent="0.2">
      <c r="S202" s="77">
        <f t="shared" si="3"/>
        <v>42205</v>
      </c>
      <c r="T202" s="78">
        <f>INDEX([12]ČR!$D$18:$D$383,DATE(2016,MONTH(S202),DAY(S202))-DATE(2016,1,1)+1,1)/1000000</f>
        <v>7.8044073243827974</v>
      </c>
      <c r="U202" s="78" t="e">
        <f>IF(T!$A$4&gt;=MONTH(S202),VLOOKUP(S202,'[8]Podklady MZ'!$R$2:$S$367,2,FALSE),NA())</f>
        <v>#N/A</v>
      </c>
      <c r="V202" s="178">
        <f>INDEX([5]PT!$AF$16:$AF$381,DATE(2016,MONTH(S202),DAY(S202))-DATE(2016,1,1)+1,1)</f>
        <v>0</v>
      </c>
      <c r="W202" s="178">
        <f>IF(T!$A$4&lt;MONTH(S202),VLOOKUP(S202,'[8]Podklady MZ'!$R$2:$S$367,2,FALSE),NA())</f>
        <v>9.3548387096774199</v>
      </c>
    </row>
    <row r="203" spans="19:23" x14ac:dyDescent="0.2">
      <c r="S203" s="77">
        <f t="shared" si="3"/>
        <v>42206</v>
      </c>
      <c r="T203" s="78">
        <f>INDEX([12]ČR!$D$18:$D$383,DATE(2016,MONTH(S203),DAY(S203))-DATE(2016,1,1)+1,1)/1000000</f>
        <v>9.3012826852739359</v>
      </c>
      <c r="U203" s="78" t="e">
        <f>IF(T!$A$4&gt;=MONTH(S203),VLOOKUP(S203,'[8]Podklady MZ'!$R$2:$S$367,2,FALSE),NA())</f>
        <v>#N/A</v>
      </c>
      <c r="V203" s="178">
        <f>INDEX([5]PT!$AF$16:$AF$381,DATE(2016,MONTH(S203),DAY(S203))-DATE(2016,1,1)+1,1)</f>
        <v>0</v>
      </c>
      <c r="W203" s="178">
        <f>IF(T!$A$4&lt;MONTH(S203),VLOOKUP(S203,'[8]Podklady MZ'!$R$2:$S$367,2,FALSE),NA())</f>
        <v>9.3548387096774199</v>
      </c>
    </row>
    <row r="204" spans="19:23" x14ac:dyDescent="0.2">
      <c r="S204" s="77">
        <f t="shared" si="3"/>
        <v>42207</v>
      </c>
      <c r="T204" s="78">
        <f>INDEX([12]ČR!$D$18:$D$383,DATE(2016,MONTH(S204),DAY(S204))-DATE(2016,1,1)+1,1)/1000000</f>
        <v>9.613325478616396</v>
      </c>
      <c r="U204" s="78" t="e">
        <f>IF(T!$A$4&gt;=MONTH(S204),VLOOKUP(S204,'[8]Podklady MZ'!$R$2:$S$367,2,FALSE),NA())</f>
        <v>#N/A</v>
      </c>
      <c r="V204" s="178">
        <f>INDEX([5]PT!$AF$16:$AF$381,DATE(2016,MONTH(S204),DAY(S204))-DATE(2016,1,1)+1,1)</f>
        <v>0</v>
      </c>
      <c r="W204" s="178">
        <f>IF(T!$A$4&lt;MONTH(S204),VLOOKUP(S204,'[8]Podklady MZ'!$R$2:$S$367,2,FALSE),NA())</f>
        <v>9.3548387096774199</v>
      </c>
    </row>
    <row r="205" spans="19:23" x14ac:dyDescent="0.2">
      <c r="S205" s="77">
        <f t="shared" si="3"/>
        <v>42208</v>
      </c>
      <c r="T205" s="78">
        <f>INDEX([12]ČR!$D$18:$D$383,DATE(2016,MONTH(S205),DAY(S205))-DATE(2016,1,1)+1,1)/1000000</f>
        <v>10.428420309352932</v>
      </c>
      <c r="U205" s="78" t="e">
        <f>IF(T!$A$4&gt;=MONTH(S205),VLOOKUP(S205,'[8]Podklady MZ'!$R$2:$S$367,2,FALSE),NA())</f>
        <v>#N/A</v>
      </c>
      <c r="V205" s="178">
        <f>INDEX([5]PT!$AF$16:$AF$381,DATE(2016,MONTH(S205),DAY(S205))-DATE(2016,1,1)+1,1)</f>
        <v>0</v>
      </c>
      <c r="W205" s="178">
        <f>IF(T!$A$4&lt;MONTH(S205),VLOOKUP(S205,'[8]Podklady MZ'!$R$2:$S$367,2,FALSE),NA())</f>
        <v>9.3548387096774199</v>
      </c>
    </row>
    <row r="206" spans="19:23" x14ac:dyDescent="0.2">
      <c r="S206" s="77">
        <f t="shared" si="3"/>
        <v>42209</v>
      </c>
      <c r="T206" s="78">
        <f>INDEX([12]ČR!$D$18:$D$383,DATE(2016,MONTH(S206),DAY(S206))-DATE(2016,1,1)+1,1)/1000000</f>
        <v>10.63011751680351</v>
      </c>
      <c r="U206" s="78" t="e">
        <f>IF(T!$A$4&gt;=MONTH(S206),VLOOKUP(S206,'[8]Podklady MZ'!$R$2:$S$367,2,FALSE),NA())</f>
        <v>#N/A</v>
      </c>
      <c r="V206" s="178">
        <f>INDEX([5]PT!$AF$16:$AF$381,DATE(2016,MONTH(S206),DAY(S206))-DATE(2016,1,1)+1,1)</f>
        <v>0</v>
      </c>
      <c r="W206" s="178">
        <f>IF(T!$A$4&lt;MONTH(S206),VLOOKUP(S206,'[8]Podklady MZ'!$R$2:$S$367,2,FALSE),NA())</f>
        <v>9.3548387096774199</v>
      </c>
    </row>
    <row r="207" spans="19:23" x14ac:dyDescent="0.2">
      <c r="S207" s="77">
        <f t="shared" si="3"/>
        <v>42210</v>
      </c>
      <c r="T207" s="78">
        <f>INDEX([12]ČR!$D$18:$D$383,DATE(2016,MONTH(S207),DAY(S207))-DATE(2016,1,1)+1,1)/1000000</f>
        <v>10.150119335925959</v>
      </c>
      <c r="U207" s="78" t="e">
        <f>IF(T!$A$4&gt;=MONTH(S207),VLOOKUP(S207,'[8]Podklady MZ'!$R$2:$S$367,2,FALSE),NA())</f>
        <v>#N/A</v>
      </c>
      <c r="V207" s="178">
        <f>INDEX([5]PT!$AF$16:$AF$381,DATE(2016,MONTH(S207),DAY(S207))-DATE(2016,1,1)+1,1)</f>
        <v>0</v>
      </c>
      <c r="W207" s="178">
        <f>IF(T!$A$4&lt;MONTH(S207),VLOOKUP(S207,'[8]Podklady MZ'!$R$2:$S$367,2,FALSE),NA())</f>
        <v>9.3548387096774199</v>
      </c>
    </row>
    <row r="208" spans="19:23" x14ac:dyDescent="0.2">
      <c r="S208" s="77">
        <f t="shared" si="3"/>
        <v>42211</v>
      </c>
      <c r="T208" s="78">
        <f>INDEX([12]ČR!$D$18:$D$383,DATE(2016,MONTH(S208),DAY(S208))-DATE(2016,1,1)+1,1)/1000000</f>
        <v>8.739314200288657</v>
      </c>
      <c r="U208" s="78" t="e">
        <f>IF(T!$A$4&gt;=MONTH(S208),VLOOKUP(S208,'[8]Podklady MZ'!$R$2:$S$367,2,FALSE),NA())</f>
        <v>#N/A</v>
      </c>
      <c r="V208" s="178">
        <f>INDEX([5]PT!$AF$16:$AF$381,DATE(2016,MONTH(S208),DAY(S208))-DATE(2016,1,1)+1,1)</f>
        <v>0</v>
      </c>
      <c r="W208" s="178">
        <f>IF(T!$A$4&lt;MONTH(S208),VLOOKUP(S208,'[8]Podklady MZ'!$R$2:$S$367,2,FALSE),NA())</f>
        <v>9.3548387096774199</v>
      </c>
    </row>
    <row r="209" spans="19:23" x14ac:dyDescent="0.2">
      <c r="S209" s="77">
        <f t="shared" si="3"/>
        <v>42212</v>
      </c>
      <c r="T209" s="78">
        <f>INDEX([12]ČR!$D$18:$D$383,DATE(2016,MONTH(S209),DAY(S209))-DATE(2016,1,1)+1,1)/1000000</f>
        <v>8.6554588637650465</v>
      </c>
      <c r="U209" s="78" t="e">
        <f>IF(T!$A$4&gt;=MONTH(S209),VLOOKUP(S209,'[8]Podklady MZ'!$R$2:$S$367,2,FALSE),NA())</f>
        <v>#N/A</v>
      </c>
      <c r="V209" s="178">
        <f>INDEX([5]PT!$AF$16:$AF$381,DATE(2016,MONTH(S209),DAY(S209))-DATE(2016,1,1)+1,1)</f>
        <v>0</v>
      </c>
      <c r="W209" s="178">
        <f>IF(T!$A$4&lt;MONTH(S209),VLOOKUP(S209,'[8]Podklady MZ'!$R$2:$S$367,2,FALSE),NA())</f>
        <v>9.3548387096774199</v>
      </c>
    </row>
    <row r="210" spans="19:23" x14ac:dyDescent="0.2">
      <c r="S210" s="77">
        <f t="shared" si="3"/>
        <v>42213</v>
      </c>
      <c r="T210" s="78">
        <f>INDEX([12]ČR!$D$18:$D$383,DATE(2016,MONTH(S210),DAY(S210))-DATE(2016,1,1)+1,1)/1000000</f>
        <v>10.007400528645363</v>
      </c>
      <c r="U210" s="78" t="e">
        <f>IF(T!$A$4&gt;=MONTH(S210),VLOOKUP(S210,'[8]Podklady MZ'!$R$2:$S$367,2,FALSE),NA())</f>
        <v>#N/A</v>
      </c>
      <c r="V210" s="178">
        <f>INDEX([5]PT!$AF$16:$AF$381,DATE(2016,MONTH(S210),DAY(S210))-DATE(2016,1,1)+1,1)</f>
        <v>0</v>
      </c>
      <c r="W210" s="178">
        <f>IF(T!$A$4&lt;MONTH(S210),VLOOKUP(S210,'[8]Podklady MZ'!$R$2:$S$367,2,FALSE),NA())</f>
        <v>9.3548387096774199</v>
      </c>
    </row>
    <row r="211" spans="19:23" x14ac:dyDescent="0.2">
      <c r="S211" s="77">
        <f t="shared" si="3"/>
        <v>42214</v>
      </c>
      <c r="T211" s="78">
        <f>INDEX([12]ČR!$D$18:$D$383,DATE(2016,MONTH(S211),DAY(S211))-DATE(2016,1,1)+1,1)/1000000</f>
        <v>9.3544529085270369</v>
      </c>
      <c r="U211" s="78" t="e">
        <f>IF(T!$A$4&gt;=MONTH(S211),VLOOKUP(S211,'[8]Podklady MZ'!$R$2:$S$367,2,FALSE),NA())</f>
        <v>#N/A</v>
      </c>
      <c r="V211" s="178">
        <f>INDEX([5]PT!$AF$16:$AF$381,DATE(2016,MONTH(S211),DAY(S211))-DATE(2016,1,1)+1,1)</f>
        <v>0</v>
      </c>
      <c r="W211" s="178">
        <f>IF(T!$A$4&lt;MONTH(S211),VLOOKUP(S211,'[8]Podklady MZ'!$R$2:$S$367,2,FALSE),NA())</f>
        <v>9.3548387096774199</v>
      </c>
    </row>
    <row r="212" spans="19:23" x14ac:dyDescent="0.2">
      <c r="S212" s="77">
        <f t="shared" si="3"/>
        <v>42215</v>
      </c>
      <c r="T212" s="78">
        <f>INDEX([12]ČR!$D$18:$D$383,DATE(2016,MONTH(S212),DAY(S212))-DATE(2016,1,1)+1,1)/1000000</f>
        <v>9.4523264471237418</v>
      </c>
      <c r="U212" s="78" t="e">
        <f>IF(T!$A$4&gt;=MONTH(S212),VLOOKUP(S212,'[8]Podklady MZ'!$R$2:$S$367,2,FALSE),NA())</f>
        <v>#N/A</v>
      </c>
      <c r="V212" s="178">
        <f>INDEX([5]PT!$AF$16:$AF$381,DATE(2016,MONTH(S212),DAY(S212))-DATE(2016,1,1)+1,1)</f>
        <v>0</v>
      </c>
      <c r="W212" s="178">
        <f>IF(T!$A$4&lt;MONTH(S212),VLOOKUP(S212,'[8]Podklady MZ'!$R$2:$S$367,2,FALSE),NA())</f>
        <v>9.3548387096774199</v>
      </c>
    </row>
    <row r="213" spans="19:23" x14ac:dyDescent="0.2">
      <c r="S213" s="77">
        <f t="shared" si="3"/>
        <v>42216</v>
      </c>
      <c r="T213" s="78">
        <f>INDEX([12]ČR!$D$18:$D$383,DATE(2016,MONTH(S213),DAY(S213))-DATE(2016,1,1)+1,1)/1000000</f>
        <v>9.2471253614376749</v>
      </c>
      <c r="U213" s="78" t="e">
        <f>IF(T!$A$4&gt;=MONTH(S213),VLOOKUP(S213,'[8]Podklady MZ'!$R$2:$S$367,2,FALSE),NA())</f>
        <v>#N/A</v>
      </c>
      <c r="V213" s="178">
        <f>INDEX([5]PT!$AF$16:$AF$381,DATE(2016,MONTH(S213),DAY(S213))-DATE(2016,1,1)+1,1)</f>
        <v>0</v>
      </c>
      <c r="W213" s="178">
        <f>IF(T!$A$4&lt;MONTH(S213),VLOOKUP(S213,'[8]Podklady MZ'!$R$2:$S$367,2,FALSE),NA())</f>
        <v>9.3548387096774199</v>
      </c>
    </row>
    <row r="214" spans="19:23" x14ac:dyDescent="0.2">
      <c r="S214" s="77">
        <f t="shared" si="3"/>
        <v>42217</v>
      </c>
      <c r="T214" s="78">
        <f>INDEX([12]ČR!$D$18:$D$383,DATE(2016,MONTH(S214),DAY(S214))-DATE(2016,1,1)+1,1)/1000000</f>
        <v>8.7526101351575232</v>
      </c>
      <c r="U214" s="78" t="e">
        <f>IF(T!$A$4&gt;=MONTH(S214),VLOOKUP(S214,'[8]Podklady MZ'!$R$2:$S$367,2,FALSE),NA())</f>
        <v>#N/A</v>
      </c>
      <c r="V214" s="178">
        <f>INDEX([5]PT!$AF$16:$AF$381,DATE(2016,MONTH(S214),DAY(S214))-DATE(2016,1,1)+1,1)</f>
        <v>0</v>
      </c>
      <c r="W214" s="178">
        <f>IF(T!$A$4&lt;MONTH(S214),VLOOKUP(S214,'[8]Podklady MZ'!$R$2:$S$367,2,FALSE),NA())</f>
        <v>9.3548387096774199</v>
      </c>
    </row>
    <row r="215" spans="19:23" x14ac:dyDescent="0.2">
      <c r="S215" s="77">
        <f t="shared" si="3"/>
        <v>42218</v>
      </c>
      <c r="T215" s="78">
        <f>INDEX([12]ČR!$D$18:$D$383,DATE(2016,MONTH(S215),DAY(S215))-DATE(2016,1,1)+1,1)/1000000</f>
        <v>7.3398109362101893</v>
      </c>
      <c r="U215" s="78" t="e">
        <f>IF(T!$A$4&gt;=MONTH(S215),VLOOKUP(S215,'[8]Podklady MZ'!$R$2:$S$367,2,FALSE),NA())</f>
        <v>#N/A</v>
      </c>
      <c r="V215" s="178">
        <f>INDEX([5]PT!$AF$16:$AF$381,DATE(2016,MONTH(S215),DAY(S215))-DATE(2016,1,1)+1,1)</f>
        <v>0</v>
      </c>
      <c r="W215" s="178">
        <f>IF(T!$A$4&lt;MONTH(S215),VLOOKUP(S215,'[8]Podklady MZ'!$R$2:$S$367,2,FALSE),NA())</f>
        <v>9.3548387096774199</v>
      </c>
    </row>
    <row r="216" spans="19:23" x14ac:dyDescent="0.2">
      <c r="S216" s="77">
        <f t="shared" si="3"/>
        <v>42219</v>
      </c>
      <c r="T216" s="78">
        <f>INDEX([12]ČR!$D$18:$D$383,DATE(2016,MONTH(S216),DAY(S216))-DATE(2016,1,1)+1,1)/1000000</f>
        <v>7.4255598574784685</v>
      </c>
      <c r="U216" s="78" t="e">
        <f>IF(T!$A$4&gt;=MONTH(S216),VLOOKUP(S216,'[8]Podklady MZ'!$R$2:$S$367,2,FALSE),NA())</f>
        <v>#N/A</v>
      </c>
      <c r="V216" s="178">
        <f>INDEX([5]PT!$AF$16:$AF$381,DATE(2016,MONTH(S216),DAY(S216))-DATE(2016,1,1)+1,1)</f>
        <v>0</v>
      </c>
      <c r="W216" s="178">
        <f>IF(T!$A$4&lt;MONTH(S216),VLOOKUP(S216,'[8]Podklady MZ'!$R$2:$S$367,2,FALSE),NA())</f>
        <v>9.3548387096774199</v>
      </c>
    </row>
    <row r="217" spans="19:23" x14ac:dyDescent="0.2">
      <c r="S217" s="77">
        <f t="shared" si="3"/>
        <v>42220</v>
      </c>
      <c r="T217" s="78">
        <f>INDEX([12]ČR!$D$18:$D$383,DATE(2016,MONTH(S217),DAY(S217))-DATE(2016,1,1)+1,1)/1000000</f>
        <v>9.928633428250226</v>
      </c>
      <c r="U217" s="78" t="e">
        <f>IF(T!$A$4&gt;=MONTH(S217),VLOOKUP(S217,'[8]Podklady MZ'!$R$2:$S$367,2,FALSE),NA())</f>
        <v>#N/A</v>
      </c>
      <c r="V217" s="178">
        <f>INDEX([5]PT!$AF$16:$AF$381,DATE(2016,MONTH(S217),DAY(S217))-DATE(2016,1,1)+1,1)</f>
        <v>0</v>
      </c>
      <c r="W217" s="178">
        <f>IF(T!$A$4&lt;MONTH(S217),VLOOKUP(S217,'[8]Podklady MZ'!$R$2:$S$367,2,FALSE),NA())</f>
        <v>9.3548387096774199</v>
      </c>
    </row>
    <row r="218" spans="19:23" x14ac:dyDescent="0.2">
      <c r="S218" s="77">
        <f t="shared" si="3"/>
        <v>42221</v>
      </c>
      <c r="T218" s="78">
        <f>INDEX([12]ČR!$D$18:$D$383,DATE(2016,MONTH(S218),DAY(S218))-DATE(2016,1,1)+1,1)/1000000</f>
        <v>9.0057527470622318</v>
      </c>
      <c r="U218" s="78" t="e">
        <f>IF(T!$A$4&gt;=MONTH(S218),VLOOKUP(S218,'[8]Podklady MZ'!$R$2:$S$367,2,FALSE),NA())</f>
        <v>#N/A</v>
      </c>
      <c r="V218" s="178">
        <f>INDEX([5]PT!$AF$16:$AF$381,DATE(2016,MONTH(S218),DAY(S218))-DATE(2016,1,1)+1,1)</f>
        <v>0</v>
      </c>
      <c r="W218" s="178">
        <f>IF(T!$A$4&lt;MONTH(S218),VLOOKUP(S218,'[8]Podklady MZ'!$R$2:$S$367,2,FALSE),NA())</f>
        <v>9.3548387096774199</v>
      </c>
    </row>
    <row r="219" spans="19:23" x14ac:dyDescent="0.2">
      <c r="S219" s="77">
        <f t="shared" si="3"/>
        <v>42222</v>
      </c>
      <c r="T219" s="78">
        <f>INDEX([12]ČR!$D$18:$D$383,DATE(2016,MONTH(S219),DAY(S219))-DATE(2016,1,1)+1,1)/1000000</f>
        <v>9.0292564269688711</v>
      </c>
      <c r="U219" s="78" t="e">
        <f>IF(T!$A$4&gt;=MONTH(S219),VLOOKUP(S219,'[8]Podklady MZ'!$R$2:$S$367,2,FALSE),NA())</f>
        <v>#N/A</v>
      </c>
      <c r="V219" s="178">
        <f>INDEX([5]PT!$AF$16:$AF$381,DATE(2016,MONTH(S219),DAY(S219))-DATE(2016,1,1)+1,1)</f>
        <v>0</v>
      </c>
      <c r="W219" s="178">
        <f>IF(T!$A$4&lt;MONTH(S219),VLOOKUP(S219,'[8]Podklady MZ'!$R$2:$S$367,2,FALSE),NA())</f>
        <v>9.3548387096774199</v>
      </c>
    </row>
    <row r="220" spans="19:23" x14ac:dyDescent="0.2">
      <c r="S220" s="77">
        <f t="shared" si="3"/>
        <v>42223</v>
      </c>
      <c r="T220" s="78">
        <f>INDEX([12]ČR!$D$18:$D$383,DATE(2016,MONTH(S220),DAY(S220))-DATE(2016,1,1)+1,1)/1000000</f>
        <v>10.520128208517267</v>
      </c>
      <c r="U220" s="78" t="e">
        <f>IF(T!$A$4&gt;=MONTH(S220),VLOOKUP(S220,'[8]Podklady MZ'!$R$2:$S$367,2,FALSE),NA())</f>
        <v>#N/A</v>
      </c>
      <c r="V220" s="178">
        <f>INDEX([5]PT!$AF$16:$AF$381,DATE(2016,MONTH(S220),DAY(S220))-DATE(2016,1,1)+1,1)</f>
        <v>0</v>
      </c>
      <c r="W220" s="178">
        <f>IF(T!$A$4&lt;MONTH(S220),VLOOKUP(S220,'[8]Podklady MZ'!$R$2:$S$367,2,FALSE),NA())</f>
        <v>9.3548387096774199</v>
      </c>
    </row>
    <row r="221" spans="19:23" x14ac:dyDescent="0.2">
      <c r="S221" s="77">
        <f t="shared" si="3"/>
        <v>42224</v>
      </c>
      <c r="T221" s="78">
        <f>INDEX([12]ČR!$D$18:$D$383,DATE(2016,MONTH(S221),DAY(S221))-DATE(2016,1,1)+1,1)/1000000</f>
        <v>9.7839386392334209</v>
      </c>
      <c r="U221" s="78" t="e">
        <f>IF(T!$A$4&gt;=MONTH(S221),VLOOKUP(S221,'[8]Podklady MZ'!$R$2:$S$367,2,FALSE),NA())</f>
        <v>#N/A</v>
      </c>
      <c r="V221" s="178">
        <f>INDEX([5]PT!$AF$16:$AF$381,DATE(2016,MONTH(S221),DAY(S221))-DATE(2016,1,1)+1,1)</f>
        <v>0</v>
      </c>
      <c r="W221" s="178">
        <f>IF(T!$A$4&lt;MONTH(S221),VLOOKUP(S221,'[8]Podklady MZ'!$R$2:$S$367,2,FALSE),NA())</f>
        <v>9.3548387096774199</v>
      </c>
    </row>
    <row r="222" spans="19:23" x14ac:dyDescent="0.2">
      <c r="S222" s="77">
        <f t="shared" si="3"/>
        <v>42225</v>
      </c>
      <c r="T222" s="78">
        <f>INDEX([12]ČR!$D$18:$D$383,DATE(2016,MONTH(S222),DAY(S222))-DATE(2016,1,1)+1,1)/1000000</f>
        <v>7.0910306035338904</v>
      </c>
      <c r="U222" s="78" t="e">
        <f>IF(T!$A$4&gt;=MONTH(S222),VLOOKUP(S222,'[8]Podklady MZ'!$R$2:$S$367,2,FALSE),NA())</f>
        <v>#N/A</v>
      </c>
      <c r="V222" s="178">
        <f>INDEX([5]PT!$AF$16:$AF$381,DATE(2016,MONTH(S222),DAY(S222))-DATE(2016,1,1)+1,1)</f>
        <v>0</v>
      </c>
      <c r="W222" s="178">
        <f>IF(T!$A$4&lt;MONTH(S222),VLOOKUP(S222,'[8]Podklady MZ'!$R$2:$S$367,2,FALSE),NA())</f>
        <v>9.3548387096774199</v>
      </c>
    </row>
    <row r="223" spans="19:23" x14ac:dyDescent="0.2">
      <c r="S223" s="77">
        <f t="shared" si="3"/>
        <v>42226</v>
      </c>
      <c r="T223" s="78">
        <f>INDEX([12]ČR!$D$18:$D$383,DATE(2016,MONTH(S223),DAY(S223))-DATE(2016,1,1)+1,1)/1000000</f>
        <v>7.1634838935834511</v>
      </c>
      <c r="U223" s="78" t="e">
        <f>IF(T!$A$4&gt;=MONTH(S223),VLOOKUP(S223,'[8]Podklady MZ'!$R$2:$S$367,2,FALSE),NA())</f>
        <v>#N/A</v>
      </c>
      <c r="V223" s="178">
        <f>INDEX([5]PT!$AF$16:$AF$381,DATE(2016,MONTH(S223),DAY(S223))-DATE(2016,1,1)+1,1)</f>
        <v>0</v>
      </c>
      <c r="W223" s="178">
        <f>IF(T!$A$4&lt;MONTH(S223),VLOOKUP(S223,'[8]Podklady MZ'!$R$2:$S$367,2,FALSE),NA())</f>
        <v>9.3548387096774199</v>
      </c>
    </row>
    <row r="224" spans="19:23" x14ac:dyDescent="0.2">
      <c r="S224" s="77">
        <f t="shared" si="3"/>
        <v>42227</v>
      </c>
      <c r="T224" s="78">
        <f>INDEX([12]ČR!$D$18:$D$383,DATE(2016,MONTH(S224),DAY(S224))-DATE(2016,1,1)+1,1)/1000000</f>
        <v>8.8331045259040213</v>
      </c>
      <c r="U224" s="78" t="e">
        <f>IF(T!$A$4&gt;=MONTH(S224),VLOOKUP(S224,'[8]Podklady MZ'!$R$2:$S$367,2,FALSE),NA())</f>
        <v>#N/A</v>
      </c>
      <c r="V224" s="178">
        <f>INDEX([5]PT!$AF$16:$AF$381,DATE(2016,MONTH(S224),DAY(S224))-DATE(2016,1,1)+1,1)</f>
        <v>0</v>
      </c>
      <c r="W224" s="178">
        <f>IF(T!$A$4&lt;MONTH(S224),VLOOKUP(S224,'[8]Podklady MZ'!$R$2:$S$367,2,FALSE),NA())</f>
        <v>9.3548387096774199</v>
      </c>
    </row>
    <row r="225" spans="19:23" x14ac:dyDescent="0.2">
      <c r="S225" s="77">
        <f t="shared" si="3"/>
        <v>42228</v>
      </c>
      <c r="T225" s="78">
        <f>INDEX([12]ČR!$D$18:$D$383,DATE(2016,MONTH(S225),DAY(S225))-DATE(2016,1,1)+1,1)/1000000</f>
        <v>9.248917129711181</v>
      </c>
      <c r="U225" s="78" t="e">
        <f>IF(T!$A$4&gt;=MONTH(S225),VLOOKUP(S225,'[8]Podklady MZ'!$R$2:$S$367,2,FALSE),NA())</f>
        <v>#N/A</v>
      </c>
      <c r="V225" s="178">
        <f>INDEX([5]PT!$AF$16:$AF$381,DATE(2016,MONTH(S225),DAY(S225))-DATE(2016,1,1)+1,1)</f>
        <v>0</v>
      </c>
      <c r="W225" s="178">
        <f>IF(T!$A$4&lt;MONTH(S225),VLOOKUP(S225,'[8]Podklady MZ'!$R$2:$S$367,2,FALSE),NA())</f>
        <v>9.3548387096774199</v>
      </c>
    </row>
    <row r="226" spans="19:23" x14ac:dyDescent="0.2">
      <c r="S226" s="77">
        <f t="shared" si="3"/>
        <v>42229</v>
      </c>
      <c r="T226" s="78">
        <f>INDEX([12]ČR!$D$18:$D$383,DATE(2016,MONTH(S226),DAY(S226))-DATE(2016,1,1)+1,1)/1000000</f>
        <v>9.5495590540677178</v>
      </c>
      <c r="U226" s="78" t="e">
        <f>IF(T!$A$4&gt;=MONTH(S226),VLOOKUP(S226,'[8]Podklady MZ'!$R$2:$S$367,2,FALSE),NA())</f>
        <v>#N/A</v>
      </c>
      <c r="V226" s="178">
        <f>INDEX([5]PT!$AF$16:$AF$381,DATE(2016,MONTH(S226),DAY(S226))-DATE(2016,1,1)+1,1)</f>
        <v>0</v>
      </c>
      <c r="W226" s="178">
        <f>IF(T!$A$4&lt;MONTH(S226),VLOOKUP(S226,'[8]Podklady MZ'!$R$2:$S$367,2,FALSE),NA())</f>
        <v>9.3548387096774199</v>
      </c>
    </row>
    <row r="227" spans="19:23" x14ac:dyDescent="0.2">
      <c r="S227" s="77">
        <f t="shared" si="3"/>
        <v>42230</v>
      </c>
      <c r="T227" s="78">
        <f>INDEX([12]ČR!$D$18:$D$383,DATE(2016,MONTH(S227),DAY(S227))-DATE(2016,1,1)+1,1)/1000000</f>
        <v>9.7385542915261478</v>
      </c>
      <c r="U227" s="78" t="e">
        <f>IF(T!$A$4&gt;=MONTH(S227),VLOOKUP(S227,'[8]Podklady MZ'!$R$2:$S$367,2,FALSE),NA())</f>
        <v>#N/A</v>
      </c>
      <c r="V227" s="178">
        <f>INDEX([5]PT!$AF$16:$AF$381,DATE(2016,MONTH(S227),DAY(S227))-DATE(2016,1,1)+1,1)</f>
        <v>0</v>
      </c>
      <c r="W227" s="178">
        <f>IF(T!$A$4&lt;MONTH(S227),VLOOKUP(S227,'[8]Podklady MZ'!$R$2:$S$367,2,FALSE),NA())</f>
        <v>9.3548387096774199</v>
      </c>
    </row>
    <row r="228" spans="19:23" x14ac:dyDescent="0.2">
      <c r="S228" s="77">
        <f t="shared" si="3"/>
        <v>42231</v>
      </c>
      <c r="T228" s="78">
        <f>INDEX([12]ČR!$D$18:$D$383,DATE(2016,MONTH(S228),DAY(S228))-DATE(2016,1,1)+1,1)/1000000</f>
        <v>9.4648779405683712</v>
      </c>
      <c r="U228" s="78" t="e">
        <f>IF(T!$A$4&gt;=MONTH(S228),VLOOKUP(S228,'[8]Podklady MZ'!$R$2:$S$367,2,FALSE),NA())</f>
        <v>#N/A</v>
      </c>
      <c r="V228" s="178">
        <f>INDEX([5]PT!$AF$16:$AF$381,DATE(2016,MONTH(S228),DAY(S228))-DATE(2016,1,1)+1,1)</f>
        <v>0</v>
      </c>
      <c r="W228" s="178">
        <f>IF(T!$A$4&lt;MONTH(S228),VLOOKUP(S228,'[8]Podklady MZ'!$R$2:$S$367,2,FALSE),NA())</f>
        <v>9.3548387096774199</v>
      </c>
    </row>
    <row r="229" spans="19:23" x14ac:dyDescent="0.2">
      <c r="S229" s="77">
        <f t="shared" si="3"/>
        <v>42232</v>
      </c>
      <c r="T229" s="78">
        <f>INDEX([12]ČR!$D$18:$D$383,DATE(2016,MONTH(S229),DAY(S229))-DATE(2016,1,1)+1,1)/1000000</f>
        <v>8.1674339130343689</v>
      </c>
      <c r="U229" s="78" t="e">
        <f>IF(T!$A$4&gt;=MONTH(S229),VLOOKUP(S229,'[8]Podklady MZ'!$R$2:$S$367,2,FALSE),NA())</f>
        <v>#N/A</v>
      </c>
      <c r="V229" s="178">
        <f>INDEX([5]PT!$AF$16:$AF$381,DATE(2016,MONTH(S229),DAY(S229))-DATE(2016,1,1)+1,1)</f>
        <v>0</v>
      </c>
      <c r="W229" s="178">
        <f>IF(T!$A$4&lt;MONTH(S229),VLOOKUP(S229,'[8]Podklady MZ'!$R$2:$S$367,2,FALSE),NA())</f>
        <v>9.3548387096774199</v>
      </c>
    </row>
    <row r="230" spans="19:23" x14ac:dyDescent="0.2">
      <c r="S230" s="77">
        <f t="shared" si="3"/>
        <v>42233</v>
      </c>
      <c r="T230" s="78">
        <f>INDEX([12]ČR!$D$18:$D$383,DATE(2016,MONTH(S230),DAY(S230))-DATE(2016,1,1)+1,1)/1000000</f>
        <v>8.2641739384361408</v>
      </c>
      <c r="U230" s="78" t="e">
        <f>IF(T!$A$4&gt;=MONTH(S230),VLOOKUP(S230,'[8]Podklady MZ'!$R$2:$S$367,2,FALSE),NA())</f>
        <v>#N/A</v>
      </c>
      <c r="V230" s="178">
        <f>INDEX([5]PT!$AF$16:$AF$381,DATE(2016,MONTH(S230),DAY(S230))-DATE(2016,1,1)+1,1)</f>
        <v>0</v>
      </c>
      <c r="W230" s="178">
        <f>IF(T!$A$4&lt;MONTH(S230),VLOOKUP(S230,'[8]Podklady MZ'!$R$2:$S$367,2,FALSE),NA())</f>
        <v>9.3548387096774199</v>
      </c>
    </row>
    <row r="231" spans="19:23" x14ac:dyDescent="0.2">
      <c r="S231" s="77">
        <f t="shared" si="3"/>
        <v>42234</v>
      </c>
      <c r="T231" s="78">
        <f>INDEX([12]ČR!$D$18:$D$383,DATE(2016,MONTH(S231),DAY(S231))-DATE(2016,1,1)+1,1)/1000000</f>
        <v>10.437155900913542</v>
      </c>
      <c r="U231" s="78" t="e">
        <f>IF(T!$A$4&gt;=MONTH(S231),VLOOKUP(S231,'[8]Podklady MZ'!$R$2:$S$367,2,FALSE),NA())</f>
        <v>#N/A</v>
      </c>
      <c r="V231" s="178">
        <f>INDEX([5]PT!$AF$16:$AF$381,DATE(2016,MONTH(S231),DAY(S231))-DATE(2016,1,1)+1,1)</f>
        <v>0</v>
      </c>
      <c r="W231" s="178">
        <f>IF(T!$A$4&lt;MONTH(S231),VLOOKUP(S231,'[8]Podklady MZ'!$R$2:$S$367,2,FALSE),NA())</f>
        <v>9.3548387096774199</v>
      </c>
    </row>
    <row r="232" spans="19:23" x14ac:dyDescent="0.2">
      <c r="S232" s="77">
        <f t="shared" si="3"/>
        <v>42235</v>
      </c>
      <c r="T232" s="78">
        <f>INDEX([12]ČR!$D$18:$D$383,DATE(2016,MONTH(S232),DAY(S232))-DATE(2016,1,1)+1,1)/1000000</f>
        <v>10.817177006758481</v>
      </c>
      <c r="U232" s="78" t="e">
        <f>IF(T!$A$4&gt;=MONTH(S232),VLOOKUP(S232,'[8]Podklady MZ'!$R$2:$S$367,2,FALSE),NA())</f>
        <v>#N/A</v>
      </c>
      <c r="V232" s="178">
        <f>INDEX([5]PT!$AF$16:$AF$381,DATE(2016,MONTH(S232),DAY(S232))-DATE(2016,1,1)+1,1)</f>
        <v>0</v>
      </c>
      <c r="W232" s="178">
        <f>IF(T!$A$4&lt;MONTH(S232),VLOOKUP(S232,'[8]Podklady MZ'!$R$2:$S$367,2,FALSE),NA())</f>
        <v>9.3548387096774199</v>
      </c>
    </row>
    <row r="233" spans="19:23" x14ac:dyDescent="0.2">
      <c r="S233" s="77">
        <f t="shared" si="3"/>
        <v>42236</v>
      </c>
      <c r="T233" s="78">
        <f>INDEX([12]ČR!$D$18:$D$383,DATE(2016,MONTH(S233),DAY(S233))-DATE(2016,1,1)+1,1)/1000000</f>
        <v>10.876105489382656</v>
      </c>
      <c r="U233" s="78" t="e">
        <f>IF(T!$A$4&gt;=MONTH(S233),VLOOKUP(S233,'[8]Podklady MZ'!$R$2:$S$367,2,FALSE),NA())</f>
        <v>#N/A</v>
      </c>
      <c r="V233" s="178">
        <f>INDEX([5]PT!$AF$16:$AF$381,DATE(2016,MONTH(S233),DAY(S233))-DATE(2016,1,1)+1,1)</f>
        <v>0</v>
      </c>
      <c r="W233" s="178">
        <f>IF(T!$A$4&lt;MONTH(S233),VLOOKUP(S233,'[8]Podklady MZ'!$R$2:$S$367,2,FALSE),NA())</f>
        <v>9.3548387096774199</v>
      </c>
    </row>
    <row r="234" spans="19:23" x14ac:dyDescent="0.2">
      <c r="S234" s="77">
        <f t="shared" si="3"/>
        <v>42237</v>
      </c>
      <c r="T234" s="78">
        <f>INDEX([12]ČR!$D$18:$D$383,DATE(2016,MONTH(S234),DAY(S234))-DATE(2016,1,1)+1,1)/1000000</f>
        <v>11.291716303982307</v>
      </c>
      <c r="U234" s="78" t="e">
        <f>IF(T!$A$4&gt;=MONTH(S234),VLOOKUP(S234,'[8]Podklady MZ'!$R$2:$S$367,2,FALSE),NA())</f>
        <v>#N/A</v>
      </c>
      <c r="V234" s="178">
        <f>INDEX([5]PT!$AF$16:$AF$381,DATE(2016,MONTH(S234),DAY(S234))-DATE(2016,1,1)+1,1)</f>
        <v>0</v>
      </c>
      <c r="W234" s="178">
        <f>IF(T!$A$4&lt;MONTH(S234),VLOOKUP(S234,'[8]Podklady MZ'!$R$2:$S$367,2,FALSE),NA())</f>
        <v>9.3548387096774199</v>
      </c>
    </row>
    <row r="235" spans="19:23" x14ac:dyDescent="0.2">
      <c r="S235" s="77">
        <f t="shared" si="3"/>
        <v>42238</v>
      </c>
      <c r="T235" s="78">
        <f>INDEX([12]ČR!$D$18:$D$383,DATE(2016,MONTH(S235),DAY(S235))-DATE(2016,1,1)+1,1)/1000000</f>
        <v>10.608889207773215</v>
      </c>
      <c r="U235" s="78" t="e">
        <f>IF(T!$A$4&gt;=MONTH(S235),VLOOKUP(S235,'[8]Podklady MZ'!$R$2:$S$367,2,FALSE),NA())</f>
        <v>#N/A</v>
      </c>
      <c r="V235" s="178">
        <f>INDEX([5]PT!$AF$16:$AF$381,DATE(2016,MONTH(S235),DAY(S235))-DATE(2016,1,1)+1,1)</f>
        <v>0</v>
      </c>
      <c r="W235" s="178">
        <f>IF(T!$A$4&lt;MONTH(S235),VLOOKUP(S235,'[8]Podklady MZ'!$R$2:$S$367,2,FALSE),NA())</f>
        <v>9.3548387096774199</v>
      </c>
    </row>
    <row r="236" spans="19:23" x14ac:dyDescent="0.2">
      <c r="S236" s="77">
        <f t="shared" si="3"/>
        <v>42239</v>
      </c>
      <c r="T236" s="78">
        <f>INDEX([12]ČR!$D$18:$D$383,DATE(2016,MONTH(S236),DAY(S236))-DATE(2016,1,1)+1,1)/1000000</f>
        <v>9.0766717210401815</v>
      </c>
      <c r="U236" s="78" t="e">
        <f>IF(T!$A$4&gt;=MONTH(S236),VLOOKUP(S236,'[8]Podklady MZ'!$R$2:$S$367,2,FALSE),NA())</f>
        <v>#N/A</v>
      </c>
      <c r="V236" s="178">
        <f>INDEX([5]PT!$AF$16:$AF$381,DATE(2016,MONTH(S236),DAY(S236))-DATE(2016,1,1)+1,1)</f>
        <v>0</v>
      </c>
      <c r="W236" s="178">
        <f>IF(T!$A$4&lt;MONTH(S236),VLOOKUP(S236,'[8]Podklady MZ'!$R$2:$S$367,2,FALSE),NA())</f>
        <v>9.3548387096774199</v>
      </c>
    </row>
    <row r="237" spans="19:23" x14ac:dyDescent="0.2">
      <c r="S237" s="77">
        <f t="shared" si="3"/>
        <v>42240</v>
      </c>
      <c r="T237" s="78">
        <f>INDEX([12]ČR!$D$18:$D$383,DATE(2016,MONTH(S237),DAY(S237))-DATE(2016,1,1)+1,1)/1000000</f>
        <v>9.6811858112596934</v>
      </c>
      <c r="U237" s="78" t="e">
        <f>IF(T!$A$4&gt;=MONTH(S237),VLOOKUP(S237,'[8]Podklady MZ'!$R$2:$S$367,2,FALSE),NA())</f>
        <v>#N/A</v>
      </c>
      <c r="V237" s="178">
        <f>INDEX([5]PT!$AF$16:$AF$381,DATE(2016,MONTH(S237),DAY(S237))-DATE(2016,1,1)+1,1)</f>
        <v>0</v>
      </c>
      <c r="W237" s="178">
        <f>IF(T!$A$4&lt;MONTH(S237),VLOOKUP(S237,'[8]Podklady MZ'!$R$2:$S$367,2,FALSE),NA())</f>
        <v>9.3548387096774199</v>
      </c>
    </row>
    <row r="238" spans="19:23" x14ac:dyDescent="0.2">
      <c r="S238" s="77">
        <f t="shared" si="3"/>
        <v>42241</v>
      </c>
      <c r="T238" s="78">
        <f>INDEX([12]ČR!$D$18:$D$383,DATE(2016,MONTH(S238),DAY(S238))-DATE(2016,1,1)+1,1)/1000000</f>
        <v>11.401840931354577</v>
      </c>
      <c r="U238" s="78" t="e">
        <f>IF(T!$A$4&gt;=MONTH(S238),VLOOKUP(S238,'[8]Podklady MZ'!$R$2:$S$367,2,FALSE),NA())</f>
        <v>#N/A</v>
      </c>
      <c r="V238" s="178">
        <f>INDEX([5]PT!$AF$16:$AF$381,DATE(2016,MONTH(S238),DAY(S238))-DATE(2016,1,1)+1,1)</f>
        <v>0</v>
      </c>
      <c r="W238" s="178">
        <f>IF(T!$A$4&lt;MONTH(S238),VLOOKUP(S238,'[8]Podklady MZ'!$R$2:$S$367,2,FALSE),NA())</f>
        <v>9.3548387096774199</v>
      </c>
    </row>
    <row r="239" spans="19:23" x14ac:dyDescent="0.2">
      <c r="S239" s="77">
        <f t="shared" si="3"/>
        <v>42242</v>
      </c>
      <c r="T239" s="78">
        <f>INDEX([12]ČR!$D$18:$D$383,DATE(2016,MONTH(S239),DAY(S239))-DATE(2016,1,1)+1,1)/1000000</f>
        <v>12.199019353276988</v>
      </c>
      <c r="U239" s="78" t="e">
        <f>IF(T!$A$4&gt;=MONTH(S239),VLOOKUP(S239,'[8]Podklady MZ'!$R$2:$S$367,2,FALSE),NA())</f>
        <v>#N/A</v>
      </c>
      <c r="V239" s="178">
        <f>INDEX([5]PT!$AF$16:$AF$381,DATE(2016,MONTH(S239),DAY(S239))-DATE(2016,1,1)+1,1)</f>
        <v>0</v>
      </c>
      <c r="W239" s="178">
        <f>IF(T!$A$4&lt;MONTH(S239),VLOOKUP(S239,'[8]Podklady MZ'!$R$2:$S$367,2,FALSE),NA())</f>
        <v>9.3548387096774199</v>
      </c>
    </row>
    <row r="240" spans="19:23" x14ac:dyDescent="0.2">
      <c r="S240" s="77">
        <f t="shared" si="3"/>
        <v>42243</v>
      </c>
      <c r="T240" s="78">
        <f>INDEX([12]ČR!$D$18:$D$383,DATE(2016,MONTH(S240),DAY(S240))-DATE(2016,1,1)+1,1)/1000000</f>
        <v>12.040001761096969</v>
      </c>
      <c r="U240" s="78" t="e">
        <f>IF(T!$A$4&gt;=MONTH(S240),VLOOKUP(S240,'[8]Podklady MZ'!$R$2:$S$367,2,FALSE),NA())</f>
        <v>#N/A</v>
      </c>
      <c r="V240" s="178">
        <f>INDEX([5]PT!$AF$16:$AF$381,DATE(2016,MONTH(S240),DAY(S240))-DATE(2016,1,1)+1,1)</f>
        <v>0</v>
      </c>
      <c r="W240" s="178">
        <f>IF(T!$A$4&lt;MONTH(S240),VLOOKUP(S240,'[8]Podklady MZ'!$R$2:$S$367,2,FALSE),NA())</f>
        <v>9.3548387096774199</v>
      </c>
    </row>
    <row r="241" spans="19:23" x14ac:dyDescent="0.2">
      <c r="S241" s="77">
        <f t="shared" si="3"/>
        <v>42244</v>
      </c>
      <c r="T241" s="78">
        <f>INDEX([12]ČR!$D$18:$D$383,DATE(2016,MONTH(S241),DAY(S241))-DATE(2016,1,1)+1,1)/1000000</f>
        <v>11.614278045055139</v>
      </c>
      <c r="U241" s="78" t="e">
        <f>IF(T!$A$4&gt;=MONTH(S241),VLOOKUP(S241,'[8]Podklady MZ'!$R$2:$S$367,2,FALSE),NA())</f>
        <v>#N/A</v>
      </c>
      <c r="V241" s="178">
        <f>INDEX([5]PT!$AF$16:$AF$381,DATE(2016,MONTH(S241),DAY(S241))-DATE(2016,1,1)+1,1)</f>
        <v>0</v>
      </c>
      <c r="W241" s="178">
        <f>IF(T!$A$4&lt;MONTH(S241),VLOOKUP(S241,'[8]Podklady MZ'!$R$2:$S$367,2,FALSE),NA())</f>
        <v>9.3548387096774199</v>
      </c>
    </row>
    <row r="242" spans="19:23" x14ac:dyDescent="0.2">
      <c r="S242" s="77">
        <f t="shared" si="3"/>
        <v>42245</v>
      </c>
      <c r="T242" s="78">
        <f>INDEX([12]ČR!$D$18:$D$383,DATE(2016,MONTH(S242),DAY(S242))-DATE(2016,1,1)+1,1)/1000000</f>
        <v>12.05634528188342</v>
      </c>
      <c r="U242" s="78" t="e">
        <f>IF(T!$A$4&gt;=MONTH(S242),VLOOKUP(S242,'[8]Podklady MZ'!$R$2:$S$367,2,FALSE),NA())</f>
        <v>#N/A</v>
      </c>
      <c r="V242" s="178">
        <f>INDEX([5]PT!$AF$16:$AF$381,DATE(2016,MONTH(S242),DAY(S242))-DATE(2016,1,1)+1,1)</f>
        <v>0</v>
      </c>
      <c r="W242" s="178">
        <f>IF(T!$A$4&lt;MONTH(S242),VLOOKUP(S242,'[8]Podklady MZ'!$R$2:$S$367,2,FALSE),NA())</f>
        <v>9.3548387096774199</v>
      </c>
    </row>
    <row r="243" spans="19:23" x14ac:dyDescent="0.2">
      <c r="S243" s="77">
        <f t="shared" si="3"/>
        <v>42246</v>
      </c>
      <c r="T243" s="78">
        <f>INDEX([12]ČR!$D$18:$D$383,DATE(2016,MONTH(S243),DAY(S243))-DATE(2016,1,1)+1,1)/1000000</f>
        <v>9.031495101169039</v>
      </c>
      <c r="U243" s="78" t="e">
        <f>IF(T!$A$4&gt;=MONTH(S243),VLOOKUP(S243,'[8]Podklady MZ'!$R$2:$S$367,2,FALSE),NA())</f>
        <v>#N/A</v>
      </c>
      <c r="V243" s="178">
        <f>INDEX([5]PT!$AF$16:$AF$381,DATE(2016,MONTH(S243),DAY(S243))-DATE(2016,1,1)+1,1)</f>
        <v>0</v>
      </c>
      <c r="W243" s="178">
        <f>IF(T!$A$4&lt;MONTH(S243),VLOOKUP(S243,'[8]Podklady MZ'!$R$2:$S$367,2,FALSE),NA())</f>
        <v>9.3548387096774199</v>
      </c>
    </row>
    <row r="244" spans="19:23" x14ac:dyDescent="0.2">
      <c r="S244" s="77">
        <f t="shared" si="3"/>
        <v>42247</v>
      </c>
      <c r="T244" s="78">
        <f>INDEX([12]ČR!$D$18:$D$383,DATE(2016,MONTH(S244),DAY(S244))-DATE(2016,1,1)+1,1)/1000000</f>
        <v>9.5905805212413799</v>
      </c>
      <c r="U244" s="78" t="e">
        <f>IF(T!$A$4&gt;=MONTH(S244),VLOOKUP(S244,'[8]Podklady MZ'!$R$2:$S$367,2,FALSE),NA())</f>
        <v>#N/A</v>
      </c>
      <c r="V244" s="178">
        <f>INDEX([5]PT!$AF$16:$AF$381,DATE(2016,MONTH(S244),DAY(S244))-DATE(2016,1,1)+1,1)</f>
        <v>0</v>
      </c>
      <c r="W244" s="178">
        <f>IF(T!$A$4&lt;MONTH(S244),VLOOKUP(S244,'[8]Podklady MZ'!$R$2:$S$367,2,FALSE),NA())</f>
        <v>9.3548387096774199</v>
      </c>
    </row>
    <row r="245" spans="19:23" x14ac:dyDescent="0.2">
      <c r="S245" s="77">
        <f t="shared" si="3"/>
        <v>42248</v>
      </c>
      <c r="T245" s="78">
        <f>INDEX([12]ČR!$D$18:$D$383,DATE(2016,MONTH(S245),DAY(S245))-DATE(2016,1,1)+1,1)/1000000</f>
        <v>13.326613626984381</v>
      </c>
      <c r="U245" s="78" t="e">
        <f>IF(T!$A$4&gt;=MONTH(S245),VLOOKUP(S245,'[8]Podklady MZ'!$R$2:$S$367,2,FALSE),NA())</f>
        <v>#N/A</v>
      </c>
      <c r="V245" s="178">
        <f>INDEX([5]PT!$AF$16:$AF$381,DATE(2016,MONTH(S245),DAY(S245))-DATE(2016,1,1)+1,1)</f>
        <v>0</v>
      </c>
      <c r="W245" s="178">
        <f>IF(T!$A$4&lt;MONTH(S245),VLOOKUP(S245,'[8]Podklady MZ'!$R$2:$S$367,2,FALSE),NA())</f>
        <v>12.666666666666666</v>
      </c>
    </row>
    <row r="246" spans="19:23" x14ac:dyDescent="0.2">
      <c r="S246" s="77">
        <f t="shared" si="3"/>
        <v>42249</v>
      </c>
      <c r="T246" s="78">
        <f>INDEX([12]ČR!$D$18:$D$383,DATE(2016,MONTH(S246),DAY(S246))-DATE(2016,1,1)+1,1)/1000000</f>
        <v>14.196894787642554</v>
      </c>
      <c r="U246" s="78" t="e">
        <f>IF(T!$A$4&gt;=MONTH(S246),VLOOKUP(S246,'[8]Podklady MZ'!$R$2:$S$367,2,FALSE),NA())</f>
        <v>#N/A</v>
      </c>
      <c r="V246" s="178">
        <f>INDEX([5]PT!$AF$16:$AF$381,DATE(2016,MONTH(S246),DAY(S246))-DATE(2016,1,1)+1,1)</f>
        <v>0</v>
      </c>
      <c r="W246" s="178">
        <f>IF(T!$A$4&lt;MONTH(S246),VLOOKUP(S246,'[8]Podklady MZ'!$R$2:$S$367,2,FALSE),NA())</f>
        <v>12.666666666666666</v>
      </c>
    </row>
    <row r="247" spans="19:23" x14ac:dyDescent="0.2">
      <c r="S247" s="77">
        <f t="shared" si="3"/>
        <v>42250</v>
      </c>
      <c r="T247" s="78">
        <f>INDEX([12]ČR!$D$18:$D$383,DATE(2016,MONTH(S247),DAY(S247))-DATE(2016,1,1)+1,1)/1000000</f>
        <v>12.05878174257896</v>
      </c>
      <c r="U247" s="78" t="e">
        <f>IF(T!$A$4&gt;=MONTH(S247),VLOOKUP(S247,'[8]Podklady MZ'!$R$2:$S$367,2,FALSE),NA())</f>
        <v>#N/A</v>
      </c>
      <c r="V247" s="178">
        <f>INDEX([5]PT!$AF$16:$AF$381,DATE(2016,MONTH(S247),DAY(S247))-DATE(2016,1,1)+1,1)</f>
        <v>0</v>
      </c>
      <c r="W247" s="178">
        <f>IF(T!$A$4&lt;MONTH(S247),VLOOKUP(S247,'[8]Podklady MZ'!$R$2:$S$367,2,FALSE),NA())</f>
        <v>12.666666666666666</v>
      </c>
    </row>
    <row r="248" spans="19:23" x14ac:dyDescent="0.2">
      <c r="S248" s="77">
        <f t="shared" si="3"/>
        <v>42251</v>
      </c>
      <c r="T248" s="78">
        <f>INDEX([12]ČR!$D$18:$D$383,DATE(2016,MONTH(S248),DAY(S248))-DATE(2016,1,1)+1,1)/1000000</f>
        <v>11.152921822205252</v>
      </c>
      <c r="U248" s="78" t="e">
        <f>IF(T!$A$4&gt;=MONTH(S248),VLOOKUP(S248,'[8]Podklady MZ'!$R$2:$S$367,2,FALSE),NA())</f>
        <v>#N/A</v>
      </c>
      <c r="V248" s="178">
        <f>INDEX([5]PT!$AF$16:$AF$381,DATE(2016,MONTH(S248),DAY(S248))-DATE(2016,1,1)+1,1)</f>
        <v>0</v>
      </c>
      <c r="W248" s="178">
        <f>IF(T!$A$4&lt;MONTH(S248),VLOOKUP(S248,'[8]Podklady MZ'!$R$2:$S$367,2,FALSE),NA())</f>
        <v>12.666666666666666</v>
      </c>
    </row>
    <row r="249" spans="19:23" x14ac:dyDescent="0.2">
      <c r="S249" s="77">
        <f t="shared" si="3"/>
        <v>42252</v>
      </c>
      <c r="T249" s="78">
        <f>INDEX([12]ČR!$D$18:$D$383,DATE(2016,MONTH(S249),DAY(S249))-DATE(2016,1,1)+1,1)/1000000</f>
        <v>11.18945156841357</v>
      </c>
      <c r="U249" s="78" t="e">
        <f>IF(T!$A$4&gt;=MONTH(S249),VLOOKUP(S249,'[8]Podklady MZ'!$R$2:$S$367,2,FALSE),NA())</f>
        <v>#N/A</v>
      </c>
      <c r="V249" s="178">
        <f>INDEX([5]PT!$AF$16:$AF$381,DATE(2016,MONTH(S249),DAY(S249))-DATE(2016,1,1)+1,1)</f>
        <v>0</v>
      </c>
      <c r="W249" s="178">
        <f>IF(T!$A$4&lt;MONTH(S249),VLOOKUP(S249,'[8]Podklady MZ'!$R$2:$S$367,2,FALSE),NA())</f>
        <v>12.666666666666666</v>
      </c>
    </row>
    <row r="250" spans="19:23" x14ac:dyDescent="0.2">
      <c r="S250" s="77">
        <f t="shared" si="3"/>
        <v>42253</v>
      </c>
      <c r="T250" s="78">
        <f>INDEX([12]ČR!$D$18:$D$383,DATE(2016,MONTH(S250),DAY(S250))-DATE(2016,1,1)+1,1)/1000000</f>
        <v>8.7177705120471813</v>
      </c>
      <c r="U250" s="78" t="e">
        <f>IF(T!$A$4&gt;=MONTH(S250),VLOOKUP(S250,'[8]Podklady MZ'!$R$2:$S$367,2,FALSE),NA())</f>
        <v>#N/A</v>
      </c>
      <c r="V250" s="178">
        <f>INDEX([5]PT!$AF$16:$AF$381,DATE(2016,MONTH(S250),DAY(S250))-DATE(2016,1,1)+1,1)</f>
        <v>0</v>
      </c>
      <c r="W250" s="178">
        <f>IF(T!$A$4&lt;MONTH(S250),VLOOKUP(S250,'[8]Podklady MZ'!$R$2:$S$367,2,FALSE),NA())</f>
        <v>12.666666666666666</v>
      </c>
    </row>
    <row r="251" spans="19:23" x14ac:dyDescent="0.2">
      <c r="S251" s="77">
        <f t="shared" si="3"/>
        <v>42254</v>
      </c>
      <c r="T251" s="78">
        <f>INDEX([12]ČR!$D$18:$D$383,DATE(2016,MONTH(S251),DAY(S251))-DATE(2016,1,1)+1,1)/1000000</f>
        <v>9.0133461746747372</v>
      </c>
      <c r="U251" s="78" t="e">
        <f>IF(T!$A$4&gt;=MONTH(S251),VLOOKUP(S251,'[8]Podklady MZ'!$R$2:$S$367,2,FALSE),NA())</f>
        <v>#N/A</v>
      </c>
      <c r="V251" s="178">
        <f>INDEX([5]PT!$AF$16:$AF$381,DATE(2016,MONTH(S251),DAY(S251))-DATE(2016,1,1)+1,1)</f>
        <v>0</v>
      </c>
      <c r="W251" s="178">
        <f>IF(T!$A$4&lt;MONTH(S251),VLOOKUP(S251,'[8]Podklady MZ'!$R$2:$S$367,2,FALSE),NA())</f>
        <v>12.666666666666666</v>
      </c>
    </row>
    <row r="252" spans="19:23" x14ac:dyDescent="0.2">
      <c r="S252" s="77">
        <f t="shared" si="3"/>
        <v>42255</v>
      </c>
      <c r="T252" s="78">
        <f>INDEX([12]ČR!$D$18:$D$383,DATE(2016,MONTH(S252),DAY(S252))-DATE(2016,1,1)+1,1)/1000000</f>
        <v>10.548433325279383</v>
      </c>
      <c r="U252" s="78" t="e">
        <f>IF(T!$A$4&gt;=MONTH(S252),VLOOKUP(S252,'[8]Podklady MZ'!$R$2:$S$367,2,FALSE),NA())</f>
        <v>#N/A</v>
      </c>
      <c r="V252" s="178">
        <f>INDEX([5]PT!$AF$16:$AF$381,DATE(2016,MONTH(S252),DAY(S252))-DATE(2016,1,1)+1,1)</f>
        <v>0</v>
      </c>
      <c r="W252" s="178">
        <f>IF(T!$A$4&lt;MONTH(S252),VLOOKUP(S252,'[8]Podklady MZ'!$R$2:$S$367,2,FALSE),NA())</f>
        <v>12.666666666666666</v>
      </c>
    </row>
    <row r="253" spans="19:23" x14ac:dyDescent="0.2">
      <c r="S253" s="77">
        <f t="shared" si="3"/>
        <v>42256</v>
      </c>
      <c r="T253" s="78">
        <f>INDEX([12]ČR!$D$18:$D$383,DATE(2016,MONTH(S253),DAY(S253))-DATE(2016,1,1)+1,1)/1000000</f>
        <v>10.862729181597722</v>
      </c>
      <c r="U253" s="78" t="e">
        <f>IF(T!$A$4&gt;=MONTH(S253),VLOOKUP(S253,'[8]Podklady MZ'!$R$2:$S$367,2,FALSE),NA())</f>
        <v>#N/A</v>
      </c>
      <c r="V253" s="178">
        <f>INDEX([5]PT!$AF$16:$AF$381,DATE(2016,MONTH(S253),DAY(S253))-DATE(2016,1,1)+1,1)</f>
        <v>0</v>
      </c>
      <c r="W253" s="178">
        <f>IF(T!$A$4&lt;MONTH(S253),VLOOKUP(S253,'[8]Podklady MZ'!$R$2:$S$367,2,FALSE),NA())</f>
        <v>12.666666666666666</v>
      </c>
    </row>
    <row r="254" spans="19:23" x14ac:dyDescent="0.2">
      <c r="S254" s="77">
        <f t="shared" si="3"/>
        <v>42257</v>
      </c>
      <c r="T254" s="78">
        <f>INDEX([12]ČR!$D$18:$D$383,DATE(2016,MONTH(S254),DAY(S254))-DATE(2016,1,1)+1,1)/1000000</f>
        <v>11.090167949052262</v>
      </c>
      <c r="U254" s="78" t="e">
        <f>IF(T!$A$4&gt;=MONTH(S254),VLOOKUP(S254,'[8]Podklady MZ'!$R$2:$S$367,2,FALSE),NA())</f>
        <v>#N/A</v>
      </c>
      <c r="V254" s="178">
        <f>INDEX([5]PT!$AF$16:$AF$381,DATE(2016,MONTH(S254),DAY(S254))-DATE(2016,1,1)+1,1)</f>
        <v>0</v>
      </c>
      <c r="W254" s="178">
        <f>IF(T!$A$4&lt;MONTH(S254),VLOOKUP(S254,'[8]Podklady MZ'!$R$2:$S$367,2,FALSE),NA())</f>
        <v>12.666666666666666</v>
      </c>
    </row>
    <row r="255" spans="19:23" x14ac:dyDescent="0.2">
      <c r="S255" s="77">
        <f t="shared" si="3"/>
        <v>42258</v>
      </c>
      <c r="T255" s="78">
        <f>INDEX([12]ČR!$D$18:$D$383,DATE(2016,MONTH(S255),DAY(S255))-DATE(2016,1,1)+1,1)/1000000</f>
        <v>11.666969474165212</v>
      </c>
      <c r="U255" s="78" t="e">
        <f>IF(T!$A$4&gt;=MONTH(S255),VLOOKUP(S255,'[8]Podklady MZ'!$R$2:$S$367,2,FALSE),NA())</f>
        <v>#N/A</v>
      </c>
      <c r="V255" s="178">
        <f>INDEX([5]PT!$AF$16:$AF$381,DATE(2016,MONTH(S255),DAY(S255))-DATE(2016,1,1)+1,1)</f>
        <v>0</v>
      </c>
      <c r="W255" s="178">
        <f>IF(T!$A$4&lt;MONTH(S255),VLOOKUP(S255,'[8]Podklady MZ'!$R$2:$S$367,2,FALSE),NA())</f>
        <v>12.666666666666666</v>
      </c>
    </row>
    <row r="256" spans="19:23" x14ac:dyDescent="0.2">
      <c r="S256" s="77">
        <f t="shared" si="3"/>
        <v>42259</v>
      </c>
      <c r="T256" s="78">
        <f>INDEX([12]ČR!$D$18:$D$383,DATE(2016,MONTH(S256),DAY(S256))-DATE(2016,1,1)+1,1)/1000000</f>
        <v>11.076569173853182</v>
      </c>
      <c r="U256" s="78" t="e">
        <f>IF(T!$A$4&gt;=MONTH(S256),VLOOKUP(S256,'[8]Podklady MZ'!$R$2:$S$367,2,FALSE),NA())</f>
        <v>#N/A</v>
      </c>
      <c r="V256" s="178">
        <f>INDEX([5]PT!$AF$16:$AF$381,DATE(2016,MONTH(S256),DAY(S256))-DATE(2016,1,1)+1,1)</f>
        <v>0</v>
      </c>
      <c r="W256" s="178">
        <f>IF(T!$A$4&lt;MONTH(S256),VLOOKUP(S256,'[8]Podklady MZ'!$R$2:$S$367,2,FALSE),NA())</f>
        <v>12.666666666666666</v>
      </c>
    </row>
    <row r="257" spans="19:23" x14ac:dyDescent="0.2">
      <c r="S257" s="77">
        <f t="shared" si="3"/>
        <v>42260</v>
      </c>
      <c r="T257" s="78">
        <f>INDEX([12]ČR!$D$18:$D$383,DATE(2016,MONTH(S257),DAY(S257))-DATE(2016,1,1)+1,1)/1000000</f>
        <v>9.4018983077620142</v>
      </c>
      <c r="U257" s="78" t="e">
        <f>IF(T!$A$4&gt;=MONTH(S257),VLOOKUP(S257,'[8]Podklady MZ'!$R$2:$S$367,2,FALSE),NA())</f>
        <v>#N/A</v>
      </c>
      <c r="V257" s="178">
        <f>INDEX([5]PT!$AF$16:$AF$381,DATE(2016,MONTH(S257),DAY(S257))-DATE(2016,1,1)+1,1)</f>
        <v>0</v>
      </c>
      <c r="W257" s="178">
        <f>IF(T!$A$4&lt;MONTH(S257),VLOOKUP(S257,'[8]Podklady MZ'!$R$2:$S$367,2,FALSE),NA())</f>
        <v>12.666666666666666</v>
      </c>
    </row>
    <row r="258" spans="19:23" x14ac:dyDescent="0.2">
      <c r="S258" s="77">
        <f t="shared" si="3"/>
        <v>42261</v>
      </c>
      <c r="T258" s="78">
        <f>INDEX([12]ČR!$D$18:$D$383,DATE(2016,MONTH(S258),DAY(S258))-DATE(2016,1,1)+1,1)/1000000</f>
        <v>9.9522193286723191</v>
      </c>
      <c r="U258" s="78" t="e">
        <f>IF(T!$A$4&gt;=MONTH(S258),VLOOKUP(S258,'[8]Podklady MZ'!$R$2:$S$367,2,FALSE),NA())</f>
        <v>#N/A</v>
      </c>
      <c r="V258" s="178">
        <f>INDEX([5]PT!$AF$16:$AF$381,DATE(2016,MONTH(S258),DAY(S258))-DATE(2016,1,1)+1,1)</f>
        <v>0</v>
      </c>
      <c r="W258" s="178">
        <f>IF(T!$A$4&lt;MONTH(S258),VLOOKUP(S258,'[8]Podklady MZ'!$R$2:$S$367,2,FALSE),NA())</f>
        <v>12.666666666666666</v>
      </c>
    </row>
    <row r="259" spans="19:23" x14ac:dyDescent="0.2">
      <c r="S259" s="77">
        <f t="shared" si="3"/>
        <v>42262</v>
      </c>
      <c r="T259" s="78">
        <f>INDEX([12]ČR!$D$18:$D$383,DATE(2016,MONTH(S259),DAY(S259))-DATE(2016,1,1)+1,1)/1000000</f>
        <v>11.503468036013899</v>
      </c>
      <c r="U259" s="78" t="e">
        <f>IF(T!$A$4&gt;=MONTH(S259),VLOOKUP(S259,'[8]Podklady MZ'!$R$2:$S$367,2,FALSE),NA())</f>
        <v>#N/A</v>
      </c>
      <c r="V259" s="178">
        <f>INDEX([5]PT!$AF$16:$AF$381,DATE(2016,MONTH(S259),DAY(S259))-DATE(2016,1,1)+1,1)</f>
        <v>0</v>
      </c>
      <c r="W259" s="178">
        <f>IF(T!$A$4&lt;MONTH(S259),VLOOKUP(S259,'[8]Podklady MZ'!$R$2:$S$367,2,FALSE),NA())</f>
        <v>12.666666666666666</v>
      </c>
    </row>
    <row r="260" spans="19:23" x14ac:dyDescent="0.2">
      <c r="S260" s="77">
        <f t="shared" ref="S260:S323" si="4">S259+1</f>
        <v>42263</v>
      </c>
      <c r="T260" s="78">
        <f>INDEX([12]ČR!$D$18:$D$383,DATE(2016,MONTH(S260),DAY(S260))-DATE(2016,1,1)+1,1)/1000000</f>
        <v>11.57493681078339</v>
      </c>
      <c r="U260" s="78" t="e">
        <f>IF(T!$A$4&gt;=MONTH(S260),VLOOKUP(S260,'[8]Podklady MZ'!$R$2:$S$367,2,FALSE),NA())</f>
        <v>#N/A</v>
      </c>
      <c r="V260" s="178">
        <f>INDEX([5]PT!$AF$16:$AF$381,DATE(2016,MONTH(S260),DAY(S260))-DATE(2016,1,1)+1,1)</f>
        <v>0</v>
      </c>
      <c r="W260" s="178">
        <f>IF(T!$A$4&lt;MONTH(S260),VLOOKUP(S260,'[8]Podklady MZ'!$R$2:$S$367,2,FALSE),NA())</f>
        <v>12.666666666666666</v>
      </c>
    </row>
    <row r="261" spans="19:23" x14ac:dyDescent="0.2">
      <c r="S261" s="77">
        <f t="shared" si="4"/>
        <v>42264</v>
      </c>
      <c r="T261" s="78">
        <f>INDEX([12]ČR!$D$18:$D$383,DATE(2016,MONTH(S261),DAY(S261))-DATE(2016,1,1)+1,1)/1000000</f>
        <v>12.671244461294396</v>
      </c>
      <c r="U261" s="78" t="e">
        <f>IF(T!$A$4&gt;=MONTH(S261),VLOOKUP(S261,'[8]Podklady MZ'!$R$2:$S$367,2,FALSE),NA())</f>
        <v>#N/A</v>
      </c>
      <c r="V261" s="178">
        <f>INDEX([5]PT!$AF$16:$AF$381,DATE(2016,MONTH(S261),DAY(S261))-DATE(2016,1,1)+1,1)</f>
        <v>0</v>
      </c>
      <c r="W261" s="178">
        <f>IF(T!$A$4&lt;MONTH(S261),VLOOKUP(S261,'[8]Podklady MZ'!$R$2:$S$367,2,FALSE),NA())</f>
        <v>12.666666666666666</v>
      </c>
    </row>
    <row r="262" spans="19:23" x14ac:dyDescent="0.2">
      <c r="S262" s="77">
        <f t="shared" si="4"/>
        <v>42265</v>
      </c>
      <c r="T262" s="78">
        <f>INDEX([12]ČR!$D$18:$D$383,DATE(2016,MONTH(S262),DAY(S262))-DATE(2016,1,1)+1,1)/1000000</f>
        <v>11.989948031649744</v>
      </c>
      <c r="U262" s="78" t="e">
        <f>IF(T!$A$4&gt;=MONTH(S262),VLOOKUP(S262,'[8]Podklady MZ'!$R$2:$S$367,2,FALSE),NA())</f>
        <v>#N/A</v>
      </c>
      <c r="V262" s="178">
        <f>INDEX([5]PT!$AF$16:$AF$381,DATE(2016,MONTH(S262),DAY(S262))-DATE(2016,1,1)+1,1)</f>
        <v>0</v>
      </c>
      <c r="W262" s="178">
        <f>IF(T!$A$4&lt;MONTH(S262),VLOOKUP(S262,'[8]Podklady MZ'!$R$2:$S$367,2,FALSE),NA())</f>
        <v>12.666666666666666</v>
      </c>
    </row>
    <row r="263" spans="19:23" x14ac:dyDescent="0.2">
      <c r="S263" s="77">
        <f t="shared" si="4"/>
        <v>42266</v>
      </c>
      <c r="T263" s="78">
        <f>INDEX([12]ČR!$D$18:$D$383,DATE(2016,MONTH(S263),DAY(S263))-DATE(2016,1,1)+1,1)/1000000</f>
        <v>11.364076094157173</v>
      </c>
      <c r="U263" s="78" t="e">
        <f>IF(T!$A$4&gt;=MONTH(S263),VLOOKUP(S263,'[8]Podklady MZ'!$R$2:$S$367,2,FALSE),NA())</f>
        <v>#N/A</v>
      </c>
      <c r="V263" s="178">
        <f>INDEX([5]PT!$AF$16:$AF$381,DATE(2016,MONTH(S263),DAY(S263))-DATE(2016,1,1)+1,1)</f>
        <v>0</v>
      </c>
      <c r="W263" s="178">
        <f>IF(T!$A$4&lt;MONTH(S263),VLOOKUP(S263,'[8]Podklady MZ'!$R$2:$S$367,2,FALSE),NA())</f>
        <v>12.666666666666666</v>
      </c>
    </row>
    <row r="264" spans="19:23" x14ac:dyDescent="0.2">
      <c r="S264" s="77">
        <f t="shared" si="4"/>
        <v>42267</v>
      </c>
      <c r="T264" s="78">
        <f>INDEX([12]ČR!$D$18:$D$383,DATE(2016,MONTH(S264),DAY(S264))-DATE(2016,1,1)+1,1)/1000000</f>
        <v>9.8209909016072672</v>
      </c>
      <c r="U264" s="78" t="e">
        <f>IF(T!$A$4&gt;=MONTH(S264),VLOOKUP(S264,'[8]Podklady MZ'!$R$2:$S$367,2,FALSE),NA())</f>
        <v>#N/A</v>
      </c>
      <c r="V264" s="178">
        <f>INDEX([5]PT!$AF$16:$AF$381,DATE(2016,MONTH(S264),DAY(S264))-DATE(2016,1,1)+1,1)</f>
        <v>0</v>
      </c>
      <c r="W264" s="178">
        <f>IF(T!$A$4&lt;MONTH(S264),VLOOKUP(S264,'[8]Podklady MZ'!$R$2:$S$367,2,FALSE),NA())</f>
        <v>12.666666666666666</v>
      </c>
    </row>
    <row r="265" spans="19:23" x14ac:dyDescent="0.2">
      <c r="S265" s="77">
        <f t="shared" si="4"/>
        <v>42268</v>
      </c>
      <c r="T265" s="78">
        <f>INDEX([12]ČR!$D$18:$D$383,DATE(2016,MONTH(S265),DAY(S265))-DATE(2016,1,1)+1,1)/1000000</f>
        <v>10.249617120759694</v>
      </c>
      <c r="U265" s="78" t="e">
        <f>IF(T!$A$4&gt;=MONTH(S265),VLOOKUP(S265,'[8]Podklady MZ'!$R$2:$S$367,2,FALSE),NA())</f>
        <v>#N/A</v>
      </c>
      <c r="V265" s="178">
        <f>INDEX([5]PT!$AF$16:$AF$381,DATE(2016,MONTH(S265),DAY(S265))-DATE(2016,1,1)+1,1)</f>
        <v>0</v>
      </c>
      <c r="W265" s="178">
        <f>IF(T!$A$4&lt;MONTH(S265),VLOOKUP(S265,'[8]Podklady MZ'!$R$2:$S$367,2,FALSE),NA())</f>
        <v>12.666666666666666</v>
      </c>
    </row>
    <row r="266" spans="19:23" x14ac:dyDescent="0.2">
      <c r="S266" s="77">
        <f t="shared" si="4"/>
        <v>42269</v>
      </c>
      <c r="T266" s="78">
        <f>INDEX([12]ČR!$D$18:$D$383,DATE(2016,MONTH(S266),DAY(S266))-DATE(2016,1,1)+1,1)/1000000</f>
        <v>13.441887604874745</v>
      </c>
      <c r="U266" s="78" t="e">
        <f>IF(T!$A$4&gt;=MONTH(S266),VLOOKUP(S266,'[8]Podklady MZ'!$R$2:$S$367,2,FALSE),NA())</f>
        <v>#N/A</v>
      </c>
      <c r="V266" s="178">
        <f>INDEX([5]PT!$AF$16:$AF$381,DATE(2016,MONTH(S266),DAY(S266))-DATE(2016,1,1)+1,1)</f>
        <v>0</v>
      </c>
      <c r="W266" s="178">
        <f>IF(T!$A$4&lt;MONTH(S266),VLOOKUP(S266,'[8]Podklady MZ'!$R$2:$S$367,2,FALSE),NA())</f>
        <v>12.666666666666666</v>
      </c>
    </row>
    <row r="267" spans="19:23" x14ac:dyDescent="0.2">
      <c r="S267" s="77">
        <f t="shared" si="4"/>
        <v>42270</v>
      </c>
      <c r="T267" s="78">
        <f>INDEX([12]ČR!$D$18:$D$383,DATE(2016,MONTH(S267),DAY(S267))-DATE(2016,1,1)+1,1)/1000000</f>
        <v>15.490501500711011</v>
      </c>
      <c r="U267" s="78" t="e">
        <f>IF(T!$A$4&gt;=MONTH(S267),VLOOKUP(S267,'[8]Podklady MZ'!$R$2:$S$367,2,FALSE),NA())</f>
        <v>#N/A</v>
      </c>
      <c r="V267" s="178">
        <f>INDEX([5]PT!$AF$16:$AF$381,DATE(2016,MONTH(S267),DAY(S267))-DATE(2016,1,1)+1,1)</f>
        <v>0</v>
      </c>
      <c r="W267" s="178">
        <f>IF(T!$A$4&lt;MONTH(S267),VLOOKUP(S267,'[8]Podklady MZ'!$R$2:$S$367,2,FALSE),NA())</f>
        <v>12.666666666666666</v>
      </c>
    </row>
    <row r="268" spans="19:23" x14ac:dyDescent="0.2">
      <c r="S268" s="77">
        <f t="shared" si="4"/>
        <v>42271</v>
      </c>
      <c r="T268" s="78">
        <f>INDEX([12]ČR!$D$18:$D$383,DATE(2016,MONTH(S268),DAY(S268))-DATE(2016,1,1)+1,1)/1000000</f>
        <v>16.24927609940001</v>
      </c>
      <c r="U268" s="78" t="e">
        <f>IF(T!$A$4&gt;=MONTH(S268),VLOOKUP(S268,'[8]Podklady MZ'!$R$2:$S$367,2,FALSE),NA())</f>
        <v>#N/A</v>
      </c>
      <c r="V268" s="178">
        <f>INDEX([5]PT!$AF$16:$AF$381,DATE(2016,MONTH(S268),DAY(S268))-DATE(2016,1,1)+1,1)</f>
        <v>0</v>
      </c>
      <c r="W268" s="178">
        <f>IF(T!$A$4&lt;MONTH(S268),VLOOKUP(S268,'[8]Podklady MZ'!$R$2:$S$367,2,FALSE),NA())</f>
        <v>12.666666666666666</v>
      </c>
    </row>
    <row r="269" spans="19:23" x14ac:dyDescent="0.2">
      <c r="S269" s="77">
        <f t="shared" si="4"/>
        <v>42272</v>
      </c>
      <c r="T269" s="78">
        <f>INDEX([12]ČR!$D$18:$D$383,DATE(2016,MONTH(S269),DAY(S269))-DATE(2016,1,1)+1,1)/1000000</f>
        <v>15.939579205348613</v>
      </c>
      <c r="U269" s="78" t="e">
        <f>IF(T!$A$4&gt;=MONTH(S269),VLOOKUP(S269,'[8]Podklady MZ'!$R$2:$S$367,2,FALSE),NA())</f>
        <v>#N/A</v>
      </c>
      <c r="V269" s="178">
        <f>INDEX([5]PT!$AF$16:$AF$381,DATE(2016,MONTH(S269),DAY(S269))-DATE(2016,1,1)+1,1)</f>
        <v>0</v>
      </c>
      <c r="W269" s="178">
        <f>IF(T!$A$4&lt;MONTH(S269),VLOOKUP(S269,'[8]Podklady MZ'!$R$2:$S$367,2,FALSE),NA())</f>
        <v>12.666666666666666</v>
      </c>
    </row>
    <row r="270" spans="19:23" x14ac:dyDescent="0.2">
      <c r="S270" s="77">
        <f t="shared" si="4"/>
        <v>42273</v>
      </c>
      <c r="T270" s="78">
        <f>INDEX([12]ČR!$D$18:$D$383,DATE(2016,MONTH(S270),DAY(S270))-DATE(2016,1,1)+1,1)/1000000</f>
        <v>15.784708074920571</v>
      </c>
      <c r="U270" s="78" t="e">
        <f>IF(T!$A$4&gt;=MONTH(S270),VLOOKUP(S270,'[8]Podklady MZ'!$R$2:$S$367,2,FALSE),NA())</f>
        <v>#N/A</v>
      </c>
      <c r="V270" s="178">
        <f>INDEX([5]PT!$AF$16:$AF$381,DATE(2016,MONTH(S270),DAY(S270))-DATE(2016,1,1)+1,1)</f>
        <v>0</v>
      </c>
      <c r="W270" s="178">
        <f>IF(T!$A$4&lt;MONTH(S270),VLOOKUP(S270,'[8]Podklady MZ'!$R$2:$S$367,2,FALSE),NA())</f>
        <v>12.666666666666666</v>
      </c>
    </row>
    <row r="271" spans="19:23" x14ac:dyDescent="0.2">
      <c r="S271" s="77">
        <f t="shared" si="4"/>
        <v>42274</v>
      </c>
      <c r="T271" s="78">
        <f>INDEX([12]ČR!$D$18:$D$383,DATE(2016,MONTH(S271),DAY(S271))-DATE(2016,1,1)+1,1)/1000000</f>
        <v>12.817301637118813</v>
      </c>
      <c r="U271" s="78" t="e">
        <f>IF(T!$A$4&gt;=MONTH(S271),VLOOKUP(S271,'[8]Podklady MZ'!$R$2:$S$367,2,FALSE),NA())</f>
        <v>#N/A</v>
      </c>
      <c r="V271" s="178">
        <f>INDEX([5]PT!$AF$16:$AF$381,DATE(2016,MONTH(S271),DAY(S271))-DATE(2016,1,1)+1,1)</f>
        <v>0</v>
      </c>
      <c r="W271" s="178">
        <f>IF(T!$A$4&lt;MONTH(S271),VLOOKUP(S271,'[8]Podklady MZ'!$R$2:$S$367,2,FALSE),NA())</f>
        <v>12.666666666666666</v>
      </c>
    </row>
    <row r="272" spans="19:23" x14ac:dyDescent="0.2">
      <c r="S272" s="77">
        <f t="shared" si="4"/>
        <v>42275</v>
      </c>
      <c r="T272" s="78">
        <f>INDEX([12]ČR!$D$18:$D$383,DATE(2016,MONTH(S272),DAY(S272))-DATE(2016,1,1)+1,1)/1000000</f>
        <v>12.838785139497604</v>
      </c>
      <c r="U272" s="78" t="e">
        <f>IF(T!$A$4&gt;=MONTH(S272),VLOOKUP(S272,'[8]Podklady MZ'!$R$2:$S$367,2,FALSE),NA())</f>
        <v>#N/A</v>
      </c>
      <c r="V272" s="178">
        <f>INDEX([5]PT!$AF$16:$AF$381,DATE(2016,MONTH(S272),DAY(S272))-DATE(2016,1,1)+1,1)</f>
        <v>0</v>
      </c>
      <c r="W272" s="178">
        <f>IF(T!$A$4&lt;MONTH(S272),VLOOKUP(S272,'[8]Podklady MZ'!$R$2:$S$367,2,FALSE),NA())</f>
        <v>12.666666666666666</v>
      </c>
    </row>
    <row r="273" spans="19:23" x14ac:dyDescent="0.2">
      <c r="S273" s="77">
        <f t="shared" si="4"/>
        <v>42276</v>
      </c>
      <c r="T273" s="78">
        <f>INDEX([12]ČR!$D$18:$D$383,DATE(2016,MONTH(S273),DAY(S273))-DATE(2016,1,1)+1,1)/1000000</f>
        <v>14.427943495360427</v>
      </c>
      <c r="U273" s="78" t="e">
        <f>IF(T!$A$4&gt;=MONTH(S273),VLOOKUP(S273,'[8]Podklady MZ'!$R$2:$S$367,2,FALSE),NA())</f>
        <v>#N/A</v>
      </c>
      <c r="V273" s="178">
        <f>INDEX([5]PT!$AF$16:$AF$381,DATE(2016,MONTH(S273),DAY(S273))-DATE(2016,1,1)+1,1)</f>
        <v>0</v>
      </c>
      <c r="W273" s="178">
        <f>IF(T!$A$4&lt;MONTH(S273),VLOOKUP(S273,'[8]Podklady MZ'!$R$2:$S$367,2,FALSE),NA())</f>
        <v>12.666666666666666</v>
      </c>
    </row>
    <row r="274" spans="19:23" x14ac:dyDescent="0.2">
      <c r="S274" s="77">
        <f t="shared" si="4"/>
        <v>42277</v>
      </c>
      <c r="T274" s="78">
        <f>INDEX([12]ČR!$D$18:$D$383,DATE(2016,MONTH(S274),DAY(S274))-DATE(2016,1,1)+1,1)/1000000</f>
        <v>14.342826680174253</v>
      </c>
      <c r="U274" s="78" t="e">
        <f>IF(T!$A$4&gt;=MONTH(S274),VLOOKUP(S274,'[8]Podklady MZ'!$R$2:$S$367,2,FALSE),NA())</f>
        <v>#N/A</v>
      </c>
      <c r="V274" s="178">
        <f>INDEX([5]PT!$AF$16:$AF$381,DATE(2016,MONTH(S274),DAY(S274))-DATE(2016,1,1)+1,1)</f>
        <v>0</v>
      </c>
      <c r="W274" s="178">
        <f>IF(T!$A$4&lt;MONTH(S274),VLOOKUP(S274,'[8]Podklady MZ'!$R$2:$S$367,2,FALSE),NA())</f>
        <v>12.666666666666666</v>
      </c>
    </row>
    <row r="275" spans="19:23" x14ac:dyDescent="0.2">
      <c r="S275" s="77">
        <f t="shared" si="4"/>
        <v>42278</v>
      </c>
      <c r="T275" s="78">
        <f>INDEX([12]ČR!$D$18:$D$383,DATE(2016,MONTH(S275),DAY(S275))-DATE(2016,1,1)+1,1)/1000000</f>
        <v>14.672599361198165</v>
      </c>
      <c r="U275" s="78" t="e">
        <f>IF(T!$A$4&gt;=MONTH(S275),VLOOKUP(S275,'[8]Podklady MZ'!$R$2:$S$367,2,FALSE),NA())</f>
        <v>#N/A</v>
      </c>
      <c r="V275" s="178">
        <f>INDEX([5]PT!$AF$16:$AF$381,DATE(2016,MONTH(S275),DAY(S275))-DATE(2016,1,1)+1,1)</f>
        <v>0</v>
      </c>
      <c r="W275" s="178">
        <f>IF(T!$A$4&lt;MONTH(S275),VLOOKUP(S275,'[8]Podklady MZ'!$R$2:$S$367,2,FALSE),NA())</f>
        <v>20.967741935483872</v>
      </c>
    </row>
    <row r="276" spans="19:23" x14ac:dyDescent="0.2">
      <c r="S276" s="77">
        <f t="shared" si="4"/>
        <v>42279</v>
      </c>
      <c r="T276" s="78">
        <f>INDEX([12]ČR!$D$18:$D$383,DATE(2016,MONTH(S276),DAY(S276))-DATE(2016,1,1)+1,1)/1000000</f>
        <v>14.937437234854114</v>
      </c>
      <c r="U276" s="78" t="e">
        <f>IF(T!$A$4&gt;=MONTH(S276),VLOOKUP(S276,'[8]Podklady MZ'!$R$2:$S$367,2,FALSE),NA())</f>
        <v>#N/A</v>
      </c>
      <c r="V276" s="178">
        <f>INDEX([5]PT!$AF$16:$AF$381,DATE(2016,MONTH(S276),DAY(S276))-DATE(2016,1,1)+1,1)</f>
        <v>0</v>
      </c>
      <c r="W276" s="178">
        <f>IF(T!$A$4&lt;MONTH(S276),VLOOKUP(S276,'[8]Podklady MZ'!$R$2:$S$367,2,FALSE),NA())</f>
        <v>20.967741935483872</v>
      </c>
    </row>
    <row r="277" spans="19:23" x14ac:dyDescent="0.2">
      <c r="S277" s="77">
        <f t="shared" si="4"/>
        <v>42280</v>
      </c>
      <c r="T277" s="78">
        <f>INDEX([12]ČR!$D$18:$D$383,DATE(2016,MONTH(S277),DAY(S277))-DATE(2016,1,1)+1,1)/1000000</f>
        <v>15.024224818934954</v>
      </c>
      <c r="U277" s="78" t="e">
        <f>IF(T!$A$4&gt;=MONTH(S277),VLOOKUP(S277,'[8]Podklady MZ'!$R$2:$S$367,2,FALSE),NA())</f>
        <v>#N/A</v>
      </c>
      <c r="V277" s="178">
        <f>INDEX([5]PT!$AF$16:$AF$381,DATE(2016,MONTH(S277),DAY(S277))-DATE(2016,1,1)+1,1)</f>
        <v>0</v>
      </c>
      <c r="W277" s="178">
        <f>IF(T!$A$4&lt;MONTH(S277),VLOOKUP(S277,'[8]Podklady MZ'!$R$2:$S$367,2,FALSE),NA())</f>
        <v>20.967741935483872</v>
      </c>
    </row>
    <row r="278" spans="19:23" x14ac:dyDescent="0.2">
      <c r="S278" s="77">
        <f t="shared" si="4"/>
        <v>42281</v>
      </c>
      <c r="T278" s="78">
        <f>INDEX([12]ČR!$D$18:$D$383,DATE(2016,MONTH(S278),DAY(S278))-DATE(2016,1,1)+1,1)/1000000</f>
        <v>14.082394436836998</v>
      </c>
      <c r="U278" s="78" t="e">
        <f>IF(T!$A$4&gt;=MONTH(S278),VLOOKUP(S278,'[8]Podklady MZ'!$R$2:$S$367,2,FALSE),NA())</f>
        <v>#N/A</v>
      </c>
      <c r="V278" s="178">
        <f>INDEX([5]PT!$AF$16:$AF$381,DATE(2016,MONTH(S278),DAY(S278))-DATE(2016,1,1)+1,1)</f>
        <v>0</v>
      </c>
      <c r="W278" s="178">
        <f>IF(T!$A$4&lt;MONTH(S278),VLOOKUP(S278,'[8]Podklady MZ'!$R$2:$S$367,2,FALSE),NA())</f>
        <v>20.967741935483872</v>
      </c>
    </row>
    <row r="279" spans="19:23" x14ac:dyDescent="0.2">
      <c r="S279" s="77">
        <f t="shared" si="4"/>
        <v>42282</v>
      </c>
      <c r="T279" s="78">
        <f>INDEX([12]ČR!$D$18:$D$383,DATE(2016,MONTH(S279),DAY(S279))-DATE(2016,1,1)+1,1)/1000000</f>
        <v>14.703838786388099</v>
      </c>
      <c r="U279" s="78" t="e">
        <f>IF(T!$A$4&gt;=MONTH(S279),VLOOKUP(S279,'[8]Podklady MZ'!$R$2:$S$367,2,FALSE),NA())</f>
        <v>#N/A</v>
      </c>
      <c r="V279" s="178">
        <f>INDEX([5]PT!$AF$16:$AF$381,DATE(2016,MONTH(S279),DAY(S279))-DATE(2016,1,1)+1,1)</f>
        <v>0</v>
      </c>
      <c r="W279" s="178">
        <f>IF(T!$A$4&lt;MONTH(S279),VLOOKUP(S279,'[8]Podklady MZ'!$R$2:$S$367,2,FALSE),NA())</f>
        <v>20.967741935483872</v>
      </c>
    </row>
    <row r="280" spans="19:23" x14ac:dyDescent="0.2">
      <c r="S280" s="77">
        <f t="shared" si="4"/>
        <v>42283</v>
      </c>
      <c r="T280" s="78">
        <f>INDEX([12]ČR!$D$18:$D$383,DATE(2016,MONTH(S280),DAY(S280))-DATE(2016,1,1)+1,1)/1000000</f>
        <v>16.851060623207204</v>
      </c>
      <c r="U280" s="78" t="e">
        <f>IF(T!$A$4&gt;=MONTH(S280),VLOOKUP(S280,'[8]Podklady MZ'!$R$2:$S$367,2,FALSE),NA())</f>
        <v>#N/A</v>
      </c>
      <c r="V280" s="178">
        <f>INDEX([5]PT!$AF$16:$AF$381,DATE(2016,MONTH(S280),DAY(S280))-DATE(2016,1,1)+1,1)</f>
        <v>0</v>
      </c>
      <c r="W280" s="178">
        <f>IF(T!$A$4&lt;MONTH(S280),VLOOKUP(S280,'[8]Podklady MZ'!$R$2:$S$367,2,FALSE),NA())</f>
        <v>20.967741935483872</v>
      </c>
    </row>
    <row r="281" spans="19:23" x14ac:dyDescent="0.2">
      <c r="S281" s="77">
        <f t="shared" si="4"/>
        <v>42284</v>
      </c>
      <c r="T281" s="78">
        <f>INDEX([12]ČR!$D$18:$D$383,DATE(2016,MONTH(S281),DAY(S281))-DATE(2016,1,1)+1,1)/1000000</f>
        <v>17.837122085778574</v>
      </c>
      <c r="U281" s="78" t="e">
        <f>IF(T!$A$4&gt;=MONTH(S281),VLOOKUP(S281,'[8]Podklady MZ'!$R$2:$S$367,2,FALSE),NA())</f>
        <v>#N/A</v>
      </c>
      <c r="V281" s="178">
        <f>INDEX([5]PT!$AF$16:$AF$381,DATE(2016,MONTH(S281),DAY(S281))-DATE(2016,1,1)+1,1)</f>
        <v>0</v>
      </c>
      <c r="W281" s="178">
        <f>IF(T!$A$4&lt;MONTH(S281),VLOOKUP(S281,'[8]Podklady MZ'!$R$2:$S$367,2,FALSE),NA())</f>
        <v>20.967741935483872</v>
      </c>
    </row>
    <row r="282" spans="19:23" x14ac:dyDescent="0.2">
      <c r="S282" s="77">
        <f t="shared" si="4"/>
        <v>42285</v>
      </c>
      <c r="T282" s="78">
        <f>INDEX([12]ČR!$D$18:$D$383,DATE(2016,MONTH(S282),DAY(S282))-DATE(2016,1,1)+1,1)/1000000</f>
        <v>16.556639874486695</v>
      </c>
      <c r="U282" s="78" t="e">
        <f>IF(T!$A$4&gt;=MONTH(S282),VLOOKUP(S282,'[8]Podklady MZ'!$R$2:$S$367,2,FALSE),NA())</f>
        <v>#N/A</v>
      </c>
      <c r="V282" s="178">
        <f>INDEX([5]PT!$AF$16:$AF$381,DATE(2016,MONTH(S282),DAY(S282))-DATE(2016,1,1)+1,1)</f>
        <v>0</v>
      </c>
      <c r="W282" s="178">
        <f>IF(T!$A$4&lt;MONTH(S282),VLOOKUP(S282,'[8]Podklady MZ'!$R$2:$S$367,2,FALSE),NA())</f>
        <v>20.967741935483872</v>
      </c>
    </row>
    <row r="283" spans="19:23" x14ac:dyDescent="0.2">
      <c r="S283" s="77">
        <f t="shared" si="4"/>
        <v>42286</v>
      </c>
      <c r="T283" s="78">
        <f>INDEX([12]ČR!$D$18:$D$383,DATE(2016,MONTH(S283),DAY(S283))-DATE(2016,1,1)+1,1)/1000000</f>
        <v>15.092905475487182</v>
      </c>
      <c r="U283" s="78" t="e">
        <f>IF(T!$A$4&gt;=MONTH(S283),VLOOKUP(S283,'[8]Podklady MZ'!$R$2:$S$367,2,FALSE),NA())</f>
        <v>#N/A</v>
      </c>
      <c r="V283" s="178">
        <f>INDEX([5]PT!$AF$16:$AF$381,DATE(2016,MONTH(S283),DAY(S283))-DATE(2016,1,1)+1,1)</f>
        <v>0</v>
      </c>
      <c r="W283" s="178">
        <f>IF(T!$A$4&lt;MONTH(S283),VLOOKUP(S283,'[8]Podklady MZ'!$R$2:$S$367,2,FALSE),NA())</f>
        <v>20.967741935483872</v>
      </c>
    </row>
    <row r="284" spans="19:23" x14ac:dyDescent="0.2">
      <c r="S284" s="77">
        <f t="shared" si="4"/>
        <v>42287</v>
      </c>
      <c r="T284" s="78">
        <f>INDEX([12]ČR!$D$18:$D$383,DATE(2016,MONTH(S284),DAY(S284))-DATE(2016,1,1)+1,1)/1000000</f>
        <v>14.757388313683579</v>
      </c>
      <c r="U284" s="78" t="e">
        <f>IF(T!$A$4&gt;=MONTH(S284),VLOOKUP(S284,'[8]Podklady MZ'!$R$2:$S$367,2,FALSE),NA())</f>
        <v>#N/A</v>
      </c>
      <c r="V284" s="178">
        <f>INDEX([5]PT!$AF$16:$AF$381,DATE(2016,MONTH(S284),DAY(S284))-DATE(2016,1,1)+1,1)</f>
        <v>0</v>
      </c>
      <c r="W284" s="178">
        <f>IF(T!$A$4&lt;MONTH(S284),VLOOKUP(S284,'[8]Podklady MZ'!$R$2:$S$367,2,FALSE),NA())</f>
        <v>20.967741935483872</v>
      </c>
    </row>
    <row r="285" spans="19:23" x14ac:dyDescent="0.2">
      <c r="S285" s="77">
        <f t="shared" si="4"/>
        <v>42288</v>
      </c>
      <c r="T285" s="78">
        <f>INDEX([12]ČR!$D$18:$D$383,DATE(2016,MONTH(S285),DAY(S285))-DATE(2016,1,1)+1,1)/1000000</f>
        <v>12.577807255365114</v>
      </c>
      <c r="U285" s="78" t="e">
        <f>IF(T!$A$4&gt;=MONTH(S285),VLOOKUP(S285,'[8]Podklady MZ'!$R$2:$S$367,2,FALSE),NA())</f>
        <v>#N/A</v>
      </c>
      <c r="V285" s="178">
        <f>INDEX([5]PT!$AF$16:$AF$381,DATE(2016,MONTH(S285),DAY(S285))-DATE(2016,1,1)+1,1)</f>
        <v>0</v>
      </c>
      <c r="W285" s="178">
        <f>IF(T!$A$4&lt;MONTH(S285),VLOOKUP(S285,'[8]Podklady MZ'!$R$2:$S$367,2,FALSE),NA())</f>
        <v>20.967741935483872</v>
      </c>
    </row>
    <row r="286" spans="19:23" x14ac:dyDescent="0.2">
      <c r="S286" s="77">
        <f t="shared" si="4"/>
        <v>42289</v>
      </c>
      <c r="T286" s="78">
        <f>INDEX([12]ČR!$D$18:$D$383,DATE(2016,MONTH(S286),DAY(S286))-DATE(2016,1,1)+1,1)/1000000</f>
        <v>12.420204680277019</v>
      </c>
      <c r="U286" s="78" t="e">
        <f>IF(T!$A$4&gt;=MONTH(S286),VLOOKUP(S286,'[8]Podklady MZ'!$R$2:$S$367,2,FALSE),NA())</f>
        <v>#N/A</v>
      </c>
      <c r="V286" s="178">
        <f>INDEX([5]PT!$AF$16:$AF$381,DATE(2016,MONTH(S286),DAY(S286))-DATE(2016,1,1)+1,1)</f>
        <v>0</v>
      </c>
      <c r="W286" s="178">
        <f>IF(T!$A$4&lt;MONTH(S286),VLOOKUP(S286,'[8]Podklady MZ'!$R$2:$S$367,2,FALSE),NA())</f>
        <v>20.967741935483872</v>
      </c>
    </row>
    <row r="287" spans="19:23" x14ac:dyDescent="0.2">
      <c r="S287" s="77">
        <f t="shared" si="4"/>
        <v>42290</v>
      </c>
      <c r="T287" s="78">
        <f>INDEX([12]ČR!$D$18:$D$383,DATE(2016,MONTH(S287),DAY(S287))-DATE(2016,1,1)+1,1)/1000000</f>
        <v>14.379633515847994</v>
      </c>
      <c r="U287" s="78" t="e">
        <f>IF(T!$A$4&gt;=MONTH(S287),VLOOKUP(S287,'[8]Podklady MZ'!$R$2:$S$367,2,FALSE),NA())</f>
        <v>#N/A</v>
      </c>
      <c r="V287" s="178">
        <f>INDEX([5]PT!$AF$16:$AF$381,DATE(2016,MONTH(S287),DAY(S287))-DATE(2016,1,1)+1,1)</f>
        <v>0</v>
      </c>
      <c r="W287" s="178">
        <f>IF(T!$A$4&lt;MONTH(S287),VLOOKUP(S287,'[8]Podklady MZ'!$R$2:$S$367,2,FALSE),NA())</f>
        <v>20.967741935483872</v>
      </c>
    </row>
    <row r="288" spans="19:23" x14ac:dyDescent="0.2">
      <c r="S288" s="77">
        <f t="shared" si="4"/>
        <v>42291</v>
      </c>
      <c r="T288" s="78">
        <f>INDEX([12]ČR!$D$18:$D$383,DATE(2016,MONTH(S288),DAY(S288))-DATE(2016,1,1)+1,1)/1000000</f>
        <v>14.975768861072046</v>
      </c>
      <c r="U288" s="78" t="e">
        <f>IF(T!$A$4&gt;=MONTH(S288),VLOOKUP(S288,'[8]Podklady MZ'!$R$2:$S$367,2,FALSE),NA())</f>
        <v>#N/A</v>
      </c>
      <c r="V288" s="178">
        <f>INDEX([5]PT!$AF$16:$AF$381,DATE(2016,MONTH(S288),DAY(S288))-DATE(2016,1,1)+1,1)</f>
        <v>0</v>
      </c>
      <c r="W288" s="178">
        <f>IF(T!$A$4&lt;MONTH(S288),VLOOKUP(S288,'[8]Podklady MZ'!$R$2:$S$367,2,FALSE),NA())</f>
        <v>20.967741935483872</v>
      </c>
    </row>
    <row r="289" spans="19:23" x14ac:dyDescent="0.2">
      <c r="S289" s="77">
        <f t="shared" si="4"/>
        <v>42292</v>
      </c>
      <c r="T289" s="78">
        <f>INDEX([12]ČR!$D$18:$D$383,DATE(2016,MONTH(S289),DAY(S289))-DATE(2016,1,1)+1,1)/1000000</f>
        <v>16.572652806813757</v>
      </c>
      <c r="U289" s="78" t="e">
        <f>IF(T!$A$4&gt;=MONTH(S289),VLOOKUP(S289,'[8]Podklady MZ'!$R$2:$S$367,2,FALSE),NA())</f>
        <v>#N/A</v>
      </c>
      <c r="V289" s="178">
        <f>INDEX([5]PT!$AF$16:$AF$381,DATE(2016,MONTH(S289),DAY(S289))-DATE(2016,1,1)+1,1)</f>
        <v>0</v>
      </c>
      <c r="W289" s="178">
        <f>IF(T!$A$4&lt;MONTH(S289),VLOOKUP(S289,'[8]Podklady MZ'!$R$2:$S$367,2,FALSE),NA())</f>
        <v>20.967741935483872</v>
      </c>
    </row>
    <row r="290" spans="19:23" x14ac:dyDescent="0.2">
      <c r="S290" s="77">
        <f t="shared" si="4"/>
        <v>42293</v>
      </c>
      <c r="T290" s="78">
        <f>INDEX([12]ČR!$D$18:$D$383,DATE(2016,MONTH(S290),DAY(S290))-DATE(2016,1,1)+1,1)/1000000</f>
        <v>16.32268119993379</v>
      </c>
      <c r="U290" s="78" t="e">
        <f>IF(T!$A$4&gt;=MONTH(S290),VLOOKUP(S290,'[8]Podklady MZ'!$R$2:$S$367,2,FALSE),NA())</f>
        <v>#N/A</v>
      </c>
      <c r="V290" s="178">
        <f>INDEX([5]PT!$AF$16:$AF$381,DATE(2016,MONTH(S290),DAY(S290))-DATE(2016,1,1)+1,1)</f>
        <v>0</v>
      </c>
      <c r="W290" s="178">
        <f>IF(T!$A$4&lt;MONTH(S290),VLOOKUP(S290,'[8]Podklady MZ'!$R$2:$S$367,2,FALSE),NA())</f>
        <v>20.967741935483872</v>
      </c>
    </row>
    <row r="291" spans="19:23" x14ac:dyDescent="0.2">
      <c r="S291" s="77">
        <f t="shared" si="4"/>
        <v>42294</v>
      </c>
      <c r="T291" s="78">
        <f>INDEX([12]ČR!$D$18:$D$383,DATE(2016,MONTH(S291),DAY(S291))-DATE(2016,1,1)+1,1)/1000000</f>
        <v>16.501299539387901</v>
      </c>
      <c r="U291" s="78" t="e">
        <f>IF(T!$A$4&gt;=MONTH(S291),VLOOKUP(S291,'[8]Podklady MZ'!$R$2:$S$367,2,FALSE),NA())</f>
        <v>#N/A</v>
      </c>
      <c r="V291" s="178">
        <f>INDEX([5]PT!$AF$16:$AF$381,DATE(2016,MONTH(S291),DAY(S291))-DATE(2016,1,1)+1,1)</f>
        <v>0</v>
      </c>
      <c r="W291" s="178">
        <f>IF(T!$A$4&lt;MONTH(S291),VLOOKUP(S291,'[8]Podklady MZ'!$R$2:$S$367,2,FALSE),NA())</f>
        <v>20.967741935483872</v>
      </c>
    </row>
    <row r="292" spans="19:23" x14ac:dyDescent="0.2">
      <c r="S292" s="77">
        <f t="shared" si="4"/>
        <v>42295</v>
      </c>
      <c r="T292" s="78">
        <f>INDEX([12]ČR!$D$18:$D$383,DATE(2016,MONTH(S292),DAY(S292))-DATE(2016,1,1)+1,1)/1000000</f>
        <v>14.211969279977012</v>
      </c>
      <c r="U292" s="78" t="e">
        <f>IF(T!$A$4&gt;=MONTH(S292),VLOOKUP(S292,'[8]Podklady MZ'!$R$2:$S$367,2,FALSE),NA())</f>
        <v>#N/A</v>
      </c>
      <c r="V292" s="178">
        <f>INDEX([5]PT!$AF$16:$AF$381,DATE(2016,MONTH(S292),DAY(S292))-DATE(2016,1,1)+1,1)</f>
        <v>0</v>
      </c>
      <c r="W292" s="178">
        <f>IF(T!$A$4&lt;MONTH(S292),VLOOKUP(S292,'[8]Podklady MZ'!$R$2:$S$367,2,FALSE),NA())</f>
        <v>20.967741935483872</v>
      </c>
    </row>
    <row r="293" spans="19:23" x14ac:dyDescent="0.2">
      <c r="S293" s="77">
        <f t="shared" si="4"/>
        <v>42296</v>
      </c>
      <c r="T293" s="78">
        <f>INDEX([12]ČR!$D$18:$D$383,DATE(2016,MONTH(S293),DAY(S293))-DATE(2016,1,1)+1,1)/1000000</f>
        <v>14.947717499801447</v>
      </c>
      <c r="U293" s="78" t="e">
        <f>IF(T!$A$4&gt;=MONTH(S293),VLOOKUP(S293,'[8]Podklady MZ'!$R$2:$S$367,2,FALSE),NA())</f>
        <v>#N/A</v>
      </c>
      <c r="V293" s="178">
        <f>INDEX([5]PT!$AF$16:$AF$381,DATE(2016,MONTH(S293),DAY(S293))-DATE(2016,1,1)+1,1)</f>
        <v>0</v>
      </c>
      <c r="W293" s="178">
        <f>IF(T!$A$4&lt;MONTH(S293),VLOOKUP(S293,'[8]Podklady MZ'!$R$2:$S$367,2,FALSE),NA())</f>
        <v>20.967741935483872</v>
      </c>
    </row>
    <row r="294" spans="19:23" x14ac:dyDescent="0.2">
      <c r="S294" s="77">
        <f t="shared" si="4"/>
        <v>42297</v>
      </c>
      <c r="T294" s="78">
        <f>INDEX([12]ČR!$D$18:$D$383,DATE(2016,MONTH(S294),DAY(S294))-DATE(2016,1,1)+1,1)/1000000</f>
        <v>17.188499080847375</v>
      </c>
      <c r="U294" s="78" t="e">
        <f>IF(T!$A$4&gt;=MONTH(S294),VLOOKUP(S294,'[8]Podklady MZ'!$R$2:$S$367,2,FALSE),NA())</f>
        <v>#N/A</v>
      </c>
      <c r="V294" s="178">
        <f>INDEX([5]PT!$AF$16:$AF$381,DATE(2016,MONTH(S294),DAY(S294))-DATE(2016,1,1)+1,1)</f>
        <v>0</v>
      </c>
      <c r="W294" s="178">
        <f>IF(T!$A$4&lt;MONTH(S294),VLOOKUP(S294,'[8]Podklady MZ'!$R$2:$S$367,2,FALSE),NA())</f>
        <v>20.967741935483872</v>
      </c>
    </row>
    <row r="295" spans="19:23" x14ac:dyDescent="0.2">
      <c r="S295" s="77">
        <f t="shared" si="4"/>
        <v>42298</v>
      </c>
      <c r="T295" s="78">
        <f>INDEX([12]ČR!$D$18:$D$383,DATE(2016,MONTH(S295),DAY(S295))-DATE(2016,1,1)+1,1)/1000000</f>
        <v>17.722348648076419</v>
      </c>
      <c r="U295" s="78" t="e">
        <f>IF(T!$A$4&gt;=MONTH(S295),VLOOKUP(S295,'[8]Podklady MZ'!$R$2:$S$367,2,FALSE),NA())</f>
        <v>#N/A</v>
      </c>
      <c r="V295" s="178">
        <f>INDEX([5]PT!$AF$16:$AF$381,DATE(2016,MONTH(S295),DAY(S295))-DATE(2016,1,1)+1,1)</f>
        <v>0</v>
      </c>
      <c r="W295" s="178">
        <f>IF(T!$A$4&lt;MONTH(S295),VLOOKUP(S295,'[8]Podklady MZ'!$R$2:$S$367,2,FALSE),NA())</f>
        <v>20.967741935483872</v>
      </c>
    </row>
    <row r="296" spans="19:23" x14ac:dyDescent="0.2">
      <c r="S296" s="77">
        <f t="shared" si="4"/>
        <v>42299</v>
      </c>
      <c r="T296" s="78">
        <f>INDEX([12]ČR!$D$18:$D$383,DATE(2016,MONTH(S296),DAY(S296))-DATE(2016,1,1)+1,1)/1000000</f>
        <v>22.243381728859848</v>
      </c>
      <c r="U296" s="78" t="e">
        <f>IF(T!$A$4&gt;=MONTH(S296),VLOOKUP(S296,'[8]Podklady MZ'!$R$2:$S$367,2,FALSE),NA())</f>
        <v>#N/A</v>
      </c>
      <c r="V296" s="178">
        <f>INDEX([5]PT!$AF$16:$AF$381,DATE(2016,MONTH(S296),DAY(S296))-DATE(2016,1,1)+1,1)</f>
        <v>0</v>
      </c>
      <c r="W296" s="178">
        <f>IF(T!$A$4&lt;MONTH(S296),VLOOKUP(S296,'[8]Podklady MZ'!$R$2:$S$367,2,FALSE),NA())</f>
        <v>20.967741935483872</v>
      </c>
    </row>
    <row r="297" spans="19:23" x14ac:dyDescent="0.2">
      <c r="S297" s="77">
        <f t="shared" si="4"/>
        <v>42300</v>
      </c>
      <c r="T297" s="78">
        <f>INDEX([12]ČR!$D$18:$D$383,DATE(2016,MONTH(S297),DAY(S297))-DATE(2016,1,1)+1,1)/1000000</f>
        <v>23.527685238451532</v>
      </c>
      <c r="U297" s="78" t="e">
        <f>IF(T!$A$4&gt;=MONTH(S297),VLOOKUP(S297,'[8]Podklady MZ'!$R$2:$S$367,2,FALSE),NA())</f>
        <v>#N/A</v>
      </c>
      <c r="V297" s="178">
        <f>INDEX([5]PT!$AF$16:$AF$381,DATE(2016,MONTH(S297),DAY(S297))-DATE(2016,1,1)+1,1)</f>
        <v>0</v>
      </c>
      <c r="W297" s="178">
        <f>IF(T!$A$4&lt;MONTH(S297),VLOOKUP(S297,'[8]Podklady MZ'!$R$2:$S$367,2,FALSE),NA())</f>
        <v>20.967741935483872</v>
      </c>
    </row>
    <row r="298" spans="19:23" x14ac:dyDescent="0.2">
      <c r="S298" s="77">
        <f t="shared" si="4"/>
        <v>42301</v>
      </c>
      <c r="T298" s="78">
        <f>INDEX([12]ČR!$D$18:$D$383,DATE(2016,MONTH(S298),DAY(S298))-DATE(2016,1,1)+1,1)/1000000</f>
        <v>24.01690304632206</v>
      </c>
      <c r="U298" s="78" t="e">
        <f>IF(T!$A$4&gt;=MONTH(S298),VLOOKUP(S298,'[8]Podklady MZ'!$R$2:$S$367,2,FALSE),NA())</f>
        <v>#N/A</v>
      </c>
      <c r="V298" s="178">
        <f>INDEX([5]PT!$AF$16:$AF$381,DATE(2016,MONTH(S298),DAY(S298))-DATE(2016,1,1)+1,1)</f>
        <v>0</v>
      </c>
      <c r="W298" s="178">
        <f>IF(T!$A$4&lt;MONTH(S298),VLOOKUP(S298,'[8]Podklady MZ'!$R$2:$S$367,2,FALSE),NA())</f>
        <v>20.967741935483872</v>
      </c>
    </row>
    <row r="299" spans="19:23" x14ac:dyDescent="0.2">
      <c r="S299" s="77">
        <f t="shared" si="4"/>
        <v>42302</v>
      </c>
      <c r="T299" s="78">
        <f>INDEX([12]ČR!$D$18:$D$383,DATE(2016,MONTH(S299),DAY(S299))-DATE(2016,1,1)+1,1)/1000000</f>
        <v>22.937737450480171</v>
      </c>
      <c r="U299" s="78" t="e">
        <f>IF(T!$A$4&gt;=MONTH(S299),VLOOKUP(S299,'[8]Podklady MZ'!$R$2:$S$367,2,FALSE),NA())</f>
        <v>#N/A</v>
      </c>
      <c r="V299" s="178">
        <f>INDEX([5]PT!$AF$16:$AF$381,DATE(2016,MONTH(S299),DAY(S299))-DATE(2016,1,1)+1,1)</f>
        <v>0</v>
      </c>
      <c r="W299" s="178">
        <f>IF(T!$A$4&lt;MONTH(S299),VLOOKUP(S299,'[8]Podklady MZ'!$R$2:$S$367,2,FALSE),NA())</f>
        <v>20.967741935483872</v>
      </c>
    </row>
    <row r="300" spans="19:23" x14ac:dyDescent="0.2">
      <c r="S300" s="77">
        <f t="shared" si="4"/>
        <v>42303</v>
      </c>
      <c r="T300" s="78">
        <f>INDEX([12]ČR!$D$18:$D$383,DATE(2016,MONTH(S300),DAY(S300))-DATE(2016,1,1)+1,1)/1000000</f>
        <v>21.763778511162005</v>
      </c>
      <c r="U300" s="78" t="e">
        <f>IF(T!$A$4&gt;=MONTH(S300),VLOOKUP(S300,'[8]Podklady MZ'!$R$2:$S$367,2,FALSE),NA())</f>
        <v>#N/A</v>
      </c>
      <c r="V300" s="178">
        <f>INDEX([5]PT!$AF$16:$AF$381,DATE(2016,MONTH(S300),DAY(S300))-DATE(2016,1,1)+1,1)</f>
        <v>0</v>
      </c>
      <c r="W300" s="178">
        <f>IF(T!$A$4&lt;MONTH(S300),VLOOKUP(S300,'[8]Podklady MZ'!$R$2:$S$367,2,FALSE),NA())</f>
        <v>20.967741935483872</v>
      </c>
    </row>
    <row r="301" spans="19:23" x14ac:dyDescent="0.2">
      <c r="S301" s="77">
        <f t="shared" si="4"/>
        <v>42304</v>
      </c>
      <c r="T301" s="78">
        <f>INDEX([12]ČR!$D$18:$D$383,DATE(2016,MONTH(S301),DAY(S301))-DATE(2016,1,1)+1,1)/1000000</f>
        <v>24.888371905281861</v>
      </c>
      <c r="U301" s="78" t="e">
        <f>IF(T!$A$4&gt;=MONTH(S301),VLOOKUP(S301,'[8]Podklady MZ'!$R$2:$S$367,2,FALSE),NA())</f>
        <v>#N/A</v>
      </c>
      <c r="V301" s="178">
        <f>INDEX([5]PT!$AF$16:$AF$381,DATE(2016,MONTH(S301),DAY(S301))-DATE(2016,1,1)+1,1)</f>
        <v>0</v>
      </c>
      <c r="W301" s="178">
        <f>IF(T!$A$4&lt;MONTH(S301),VLOOKUP(S301,'[8]Podklady MZ'!$R$2:$S$367,2,FALSE),NA())</f>
        <v>20.967741935483872</v>
      </c>
    </row>
    <row r="302" spans="19:23" x14ac:dyDescent="0.2">
      <c r="S302" s="77">
        <f t="shared" si="4"/>
        <v>42305</v>
      </c>
      <c r="T302" s="78">
        <f>INDEX([12]ČR!$D$18:$D$383,DATE(2016,MONTH(S302),DAY(S302))-DATE(2016,1,1)+1,1)/1000000</f>
        <v>25.370627351791391</v>
      </c>
      <c r="U302" s="78" t="e">
        <f>IF(T!$A$4&gt;=MONTH(S302),VLOOKUP(S302,'[8]Podklady MZ'!$R$2:$S$367,2,FALSE),NA())</f>
        <v>#N/A</v>
      </c>
      <c r="V302" s="178">
        <f>INDEX([5]PT!$AF$16:$AF$381,DATE(2016,MONTH(S302),DAY(S302))-DATE(2016,1,1)+1,1)</f>
        <v>0</v>
      </c>
      <c r="W302" s="178">
        <f>IF(T!$A$4&lt;MONTH(S302),VLOOKUP(S302,'[8]Podklady MZ'!$R$2:$S$367,2,FALSE),NA())</f>
        <v>20.967741935483872</v>
      </c>
    </row>
    <row r="303" spans="19:23" x14ac:dyDescent="0.2">
      <c r="S303" s="77">
        <f t="shared" si="4"/>
        <v>42306</v>
      </c>
      <c r="T303" s="78">
        <f>INDEX([12]ČR!$D$18:$D$383,DATE(2016,MONTH(S303),DAY(S303))-DATE(2016,1,1)+1,1)/1000000</f>
        <v>28.2283612955835</v>
      </c>
      <c r="U303" s="78" t="e">
        <f>IF(T!$A$4&gt;=MONTH(S303),VLOOKUP(S303,'[8]Podklady MZ'!$R$2:$S$367,2,FALSE),NA())</f>
        <v>#N/A</v>
      </c>
      <c r="V303" s="178">
        <f>INDEX([5]PT!$AF$16:$AF$381,DATE(2016,MONTH(S303),DAY(S303))-DATE(2016,1,1)+1,1)</f>
        <v>0</v>
      </c>
      <c r="W303" s="178">
        <f>IF(T!$A$4&lt;MONTH(S303),VLOOKUP(S303,'[8]Podklady MZ'!$R$2:$S$367,2,FALSE),NA())</f>
        <v>20.967741935483872</v>
      </c>
    </row>
    <row r="304" spans="19:23" x14ac:dyDescent="0.2">
      <c r="S304" s="77">
        <f t="shared" si="4"/>
        <v>42307</v>
      </c>
      <c r="T304" s="78">
        <f>INDEX([12]ČR!$D$18:$D$383,DATE(2016,MONTH(S304),DAY(S304))-DATE(2016,1,1)+1,1)/1000000</f>
        <v>26.823677433161933</v>
      </c>
      <c r="U304" s="78" t="e">
        <f>IF(T!$A$4&gt;=MONTH(S304),VLOOKUP(S304,'[8]Podklady MZ'!$R$2:$S$367,2,FALSE),NA())</f>
        <v>#N/A</v>
      </c>
      <c r="V304" s="178">
        <f>INDEX([5]PT!$AF$16:$AF$381,DATE(2016,MONTH(S304),DAY(S304))-DATE(2016,1,1)+1,1)</f>
        <v>0</v>
      </c>
      <c r="W304" s="178">
        <f>IF(T!$A$4&lt;MONTH(S304),VLOOKUP(S304,'[8]Podklady MZ'!$R$2:$S$367,2,FALSE),NA())</f>
        <v>20.967741935483872</v>
      </c>
    </row>
    <row r="305" spans="19:23" x14ac:dyDescent="0.2">
      <c r="S305" s="77">
        <f t="shared" si="4"/>
        <v>42308</v>
      </c>
      <c r="T305" s="78">
        <f>INDEX([12]ČR!$D$18:$D$383,DATE(2016,MONTH(S305),DAY(S305))-DATE(2016,1,1)+1,1)/1000000</f>
        <v>24.493415582819839</v>
      </c>
      <c r="U305" s="78" t="e">
        <f>IF(T!$A$4&gt;=MONTH(S305),VLOOKUP(S305,'[8]Podklady MZ'!$R$2:$S$367,2,FALSE),NA())</f>
        <v>#N/A</v>
      </c>
      <c r="V305" s="178">
        <f>INDEX([5]PT!$AF$16:$AF$381,DATE(2016,MONTH(S305),DAY(S305))-DATE(2016,1,1)+1,1)</f>
        <v>0</v>
      </c>
      <c r="W305" s="178">
        <f>IF(T!$A$4&lt;MONTH(S305),VLOOKUP(S305,'[8]Podklady MZ'!$R$2:$S$367,2,FALSE),NA())</f>
        <v>20.967741935483872</v>
      </c>
    </row>
    <row r="306" spans="19:23" x14ac:dyDescent="0.2">
      <c r="S306" s="77">
        <f t="shared" si="4"/>
        <v>42309</v>
      </c>
      <c r="T306" s="78">
        <f>INDEX([12]ČR!$D$18:$D$383,DATE(2016,MONTH(S306),DAY(S306))-DATE(2016,1,1)+1,1)/1000000</f>
        <v>20.912289029639432</v>
      </c>
      <c r="U306" s="78" t="e">
        <f>IF(T!$A$4&gt;=MONTH(S306),VLOOKUP(S306,'[8]Podklady MZ'!$R$2:$S$367,2,FALSE),NA())</f>
        <v>#N/A</v>
      </c>
      <c r="V306" s="178">
        <f>INDEX([5]PT!$AF$16:$AF$381,DATE(2016,MONTH(S306),DAY(S306))-DATE(2016,1,1)+1,1)</f>
        <v>0</v>
      </c>
      <c r="W306" s="178">
        <f>IF(T!$A$4&lt;MONTH(S306),VLOOKUP(S306,'[8]Podklady MZ'!$R$2:$S$367,2,FALSE),NA())</f>
        <v>30.666666666666668</v>
      </c>
    </row>
    <row r="307" spans="19:23" x14ac:dyDescent="0.2">
      <c r="S307" s="77">
        <f t="shared" si="4"/>
        <v>42310</v>
      </c>
      <c r="T307" s="78">
        <f>INDEX([12]ČR!$D$18:$D$383,DATE(2016,MONTH(S307),DAY(S307))-DATE(2016,1,1)+1,1)/1000000</f>
        <v>21.982390211384921</v>
      </c>
      <c r="U307" s="78" t="e">
        <f>IF(T!$A$4&gt;=MONTH(S307),VLOOKUP(S307,'[8]Podklady MZ'!$R$2:$S$367,2,FALSE),NA())</f>
        <v>#N/A</v>
      </c>
      <c r="V307" s="178">
        <f>INDEX([5]PT!$AF$16:$AF$381,DATE(2016,MONTH(S307),DAY(S307))-DATE(2016,1,1)+1,1)</f>
        <v>0</v>
      </c>
      <c r="W307" s="178">
        <f>IF(T!$A$4&lt;MONTH(S307),VLOOKUP(S307,'[8]Podklady MZ'!$R$2:$S$367,2,FALSE),NA())</f>
        <v>30.666666666666668</v>
      </c>
    </row>
    <row r="308" spans="19:23" x14ac:dyDescent="0.2">
      <c r="S308" s="77">
        <f t="shared" si="4"/>
        <v>42311</v>
      </c>
      <c r="T308" s="78">
        <f>INDEX([12]ČR!$D$18:$D$383,DATE(2016,MONTH(S308),DAY(S308))-DATE(2016,1,1)+1,1)/1000000</f>
        <v>25.279865911936046</v>
      </c>
      <c r="U308" s="78" t="e">
        <f>IF(T!$A$4&gt;=MONTH(S308),VLOOKUP(S308,'[8]Podklady MZ'!$R$2:$S$367,2,FALSE),NA())</f>
        <v>#N/A</v>
      </c>
      <c r="V308" s="178">
        <f>INDEX([5]PT!$AF$16:$AF$381,DATE(2016,MONTH(S308),DAY(S308))-DATE(2016,1,1)+1,1)</f>
        <v>0</v>
      </c>
      <c r="W308" s="178">
        <f>IF(T!$A$4&lt;MONTH(S308),VLOOKUP(S308,'[8]Podklady MZ'!$R$2:$S$367,2,FALSE),NA())</f>
        <v>30.666666666666668</v>
      </c>
    </row>
    <row r="309" spans="19:23" x14ac:dyDescent="0.2">
      <c r="S309" s="77">
        <f t="shared" si="4"/>
        <v>42312</v>
      </c>
      <c r="T309" s="78">
        <f>INDEX([12]ČR!$D$18:$D$383,DATE(2016,MONTH(S309),DAY(S309))-DATE(2016,1,1)+1,1)/1000000</f>
        <v>23.073164608872553</v>
      </c>
      <c r="U309" s="78" t="e">
        <f>IF(T!$A$4&gt;=MONTH(S309),VLOOKUP(S309,'[8]Podklady MZ'!$R$2:$S$367,2,FALSE),NA())</f>
        <v>#N/A</v>
      </c>
      <c r="V309" s="178">
        <f>INDEX([5]PT!$AF$16:$AF$381,DATE(2016,MONTH(S309),DAY(S309))-DATE(2016,1,1)+1,1)</f>
        <v>0</v>
      </c>
      <c r="W309" s="178">
        <f>IF(T!$A$4&lt;MONTH(S309),VLOOKUP(S309,'[8]Podklady MZ'!$R$2:$S$367,2,FALSE),NA())</f>
        <v>30.666666666666668</v>
      </c>
    </row>
    <row r="310" spans="19:23" x14ac:dyDescent="0.2">
      <c r="S310" s="77">
        <f t="shared" si="4"/>
        <v>42313</v>
      </c>
      <c r="T310" s="78">
        <f>INDEX([12]ČR!$D$18:$D$383,DATE(2016,MONTH(S310),DAY(S310))-DATE(2016,1,1)+1,1)/1000000</f>
        <v>21.650747595276584</v>
      </c>
      <c r="U310" s="78" t="e">
        <f>IF(T!$A$4&gt;=MONTH(S310),VLOOKUP(S310,'[8]Podklady MZ'!$R$2:$S$367,2,FALSE),NA())</f>
        <v>#N/A</v>
      </c>
      <c r="V310" s="178">
        <f>INDEX([5]PT!$AF$16:$AF$381,DATE(2016,MONTH(S310),DAY(S310))-DATE(2016,1,1)+1,1)</f>
        <v>0</v>
      </c>
      <c r="W310" s="178">
        <f>IF(T!$A$4&lt;MONTH(S310),VLOOKUP(S310,'[8]Podklady MZ'!$R$2:$S$367,2,FALSE),NA())</f>
        <v>30.666666666666668</v>
      </c>
    </row>
    <row r="311" spans="19:23" x14ac:dyDescent="0.2">
      <c r="S311" s="77">
        <f t="shared" si="4"/>
        <v>42314</v>
      </c>
      <c r="T311" s="78">
        <f>INDEX([12]ČR!$D$18:$D$383,DATE(2016,MONTH(S311),DAY(S311))-DATE(2016,1,1)+1,1)/1000000</f>
        <v>22.316157050328712</v>
      </c>
      <c r="U311" s="78" t="e">
        <f>IF(T!$A$4&gt;=MONTH(S311),VLOOKUP(S311,'[8]Podklady MZ'!$R$2:$S$367,2,FALSE),NA())</f>
        <v>#N/A</v>
      </c>
      <c r="V311" s="178">
        <f>INDEX([5]PT!$AF$16:$AF$381,DATE(2016,MONTH(S311),DAY(S311))-DATE(2016,1,1)+1,1)</f>
        <v>0</v>
      </c>
      <c r="W311" s="178">
        <f>IF(T!$A$4&lt;MONTH(S311),VLOOKUP(S311,'[8]Podklady MZ'!$R$2:$S$367,2,FALSE),NA())</f>
        <v>30.666666666666668</v>
      </c>
    </row>
    <row r="312" spans="19:23" x14ac:dyDescent="0.2">
      <c r="S312" s="77">
        <f t="shared" si="4"/>
        <v>42315</v>
      </c>
      <c r="T312" s="78">
        <f>INDEX([12]ČR!$D$18:$D$383,DATE(2016,MONTH(S312),DAY(S312))-DATE(2016,1,1)+1,1)/1000000</f>
        <v>22.275786396136745</v>
      </c>
      <c r="U312" s="78" t="e">
        <f>IF(T!$A$4&gt;=MONTH(S312),VLOOKUP(S312,'[8]Podklady MZ'!$R$2:$S$367,2,FALSE),NA())</f>
        <v>#N/A</v>
      </c>
      <c r="V312" s="178">
        <f>INDEX([5]PT!$AF$16:$AF$381,DATE(2016,MONTH(S312),DAY(S312))-DATE(2016,1,1)+1,1)</f>
        <v>0</v>
      </c>
      <c r="W312" s="178">
        <f>IF(T!$A$4&lt;MONTH(S312),VLOOKUP(S312,'[8]Podklady MZ'!$R$2:$S$367,2,FALSE),NA())</f>
        <v>30.666666666666668</v>
      </c>
    </row>
    <row r="313" spans="19:23" x14ac:dyDescent="0.2">
      <c r="S313" s="77">
        <f t="shared" si="4"/>
        <v>42316</v>
      </c>
      <c r="T313" s="78">
        <f>INDEX([12]ČR!$D$18:$D$383,DATE(2016,MONTH(S313),DAY(S313))-DATE(2016,1,1)+1,1)/1000000</f>
        <v>20.698948451862091</v>
      </c>
      <c r="U313" s="78" t="e">
        <f>IF(T!$A$4&gt;=MONTH(S313),VLOOKUP(S313,'[8]Podklady MZ'!$R$2:$S$367,2,FALSE),NA())</f>
        <v>#N/A</v>
      </c>
      <c r="V313" s="178">
        <f>INDEX([5]PT!$AF$16:$AF$381,DATE(2016,MONTH(S313),DAY(S313))-DATE(2016,1,1)+1,1)</f>
        <v>0</v>
      </c>
      <c r="W313" s="178">
        <f>IF(T!$A$4&lt;MONTH(S313),VLOOKUP(S313,'[8]Podklady MZ'!$R$2:$S$367,2,FALSE),NA())</f>
        <v>30.666666666666668</v>
      </c>
    </row>
    <row r="314" spans="19:23" x14ac:dyDescent="0.2">
      <c r="S314" s="77">
        <f t="shared" si="4"/>
        <v>42317</v>
      </c>
      <c r="T314" s="78">
        <f>INDEX([12]ČR!$D$18:$D$383,DATE(2016,MONTH(S314),DAY(S314))-DATE(2016,1,1)+1,1)/1000000</f>
        <v>21.200649889084382</v>
      </c>
      <c r="U314" s="78" t="e">
        <f>IF(T!$A$4&gt;=MONTH(S314),VLOOKUP(S314,'[8]Podklady MZ'!$R$2:$S$367,2,FALSE),NA())</f>
        <v>#N/A</v>
      </c>
      <c r="V314" s="178">
        <f>INDEX([5]PT!$AF$16:$AF$381,DATE(2016,MONTH(S314),DAY(S314))-DATE(2016,1,1)+1,1)</f>
        <v>0</v>
      </c>
      <c r="W314" s="178">
        <f>IF(T!$A$4&lt;MONTH(S314),VLOOKUP(S314,'[8]Podklady MZ'!$R$2:$S$367,2,FALSE),NA())</f>
        <v>30.666666666666668</v>
      </c>
    </row>
    <row r="315" spans="19:23" x14ac:dyDescent="0.2">
      <c r="S315" s="77">
        <f t="shared" si="4"/>
        <v>42318</v>
      </c>
      <c r="T315" s="78">
        <f>INDEX([12]ČR!$D$18:$D$383,DATE(2016,MONTH(S315),DAY(S315))-DATE(2016,1,1)+1,1)/1000000</f>
        <v>22.81117837236047</v>
      </c>
      <c r="U315" s="78" t="e">
        <f>IF(T!$A$4&gt;=MONTH(S315),VLOOKUP(S315,'[8]Podklady MZ'!$R$2:$S$367,2,FALSE),NA())</f>
        <v>#N/A</v>
      </c>
      <c r="V315" s="178">
        <f>INDEX([5]PT!$AF$16:$AF$381,DATE(2016,MONTH(S315),DAY(S315))-DATE(2016,1,1)+1,1)</f>
        <v>0</v>
      </c>
      <c r="W315" s="178">
        <f>IF(T!$A$4&lt;MONTH(S315),VLOOKUP(S315,'[8]Podklady MZ'!$R$2:$S$367,2,FALSE),NA())</f>
        <v>30.666666666666668</v>
      </c>
    </row>
    <row r="316" spans="19:23" x14ac:dyDescent="0.2">
      <c r="S316" s="77">
        <f t="shared" si="4"/>
        <v>42319</v>
      </c>
      <c r="T316" s="78">
        <f>INDEX([12]ČR!$D$18:$D$383,DATE(2016,MONTH(S316),DAY(S316))-DATE(2016,1,1)+1,1)/1000000</f>
        <v>21.80496826783623</v>
      </c>
      <c r="U316" s="78" t="e">
        <f>IF(T!$A$4&gt;=MONTH(S316),VLOOKUP(S316,'[8]Podklady MZ'!$R$2:$S$367,2,FALSE),NA())</f>
        <v>#N/A</v>
      </c>
      <c r="V316" s="178">
        <f>INDEX([5]PT!$AF$16:$AF$381,DATE(2016,MONTH(S316),DAY(S316))-DATE(2016,1,1)+1,1)</f>
        <v>0</v>
      </c>
      <c r="W316" s="178">
        <f>IF(T!$A$4&lt;MONTH(S316),VLOOKUP(S316,'[8]Podklady MZ'!$R$2:$S$367,2,FALSE),NA())</f>
        <v>30.666666666666668</v>
      </c>
    </row>
    <row r="317" spans="19:23" x14ac:dyDescent="0.2">
      <c r="S317" s="77">
        <f t="shared" si="4"/>
        <v>42320</v>
      </c>
      <c r="T317" s="78">
        <f>INDEX([12]ČR!$D$18:$D$383,DATE(2016,MONTH(S317),DAY(S317))-DATE(2016,1,1)+1,1)/1000000</f>
        <v>21.557851782787974</v>
      </c>
      <c r="U317" s="78" t="e">
        <f>IF(T!$A$4&gt;=MONTH(S317),VLOOKUP(S317,'[8]Podklady MZ'!$R$2:$S$367,2,FALSE),NA())</f>
        <v>#N/A</v>
      </c>
      <c r="V317" s="178">
        <f>INDEX([5]PT!$AF$16:$AF$381,DATE(2016,MONTH(S317),DAY(S317))-DATE(2016,1,1)+1,1)</f>
        <v>0</v>
      </c>
      <c r="W317" s="178">
        <f>IF(T!$A$4&lt;MONTH(S317),VLOOKUP(S317,'[8]Podklady MZ'!$R$2:$S$367,2,FALSE),NA())</f>
        <v>30.666666666666668</v>
      </c>
    </row>
    <row r="318" spans="19:23" x14ac:dyDescent="0.2">
      <c r="S318" s="77">
        <f t="shared" si="4"/>
        <v>42321</v>
      </c>
      <c r="T318" s="78">
        <f>INDEX([12]ČR!$D$18:$D$383,DATE(2016,MONTH(S318),DAY(S318))-DATE(2016,1,1)+1,1)/1000000</f>
        <v>22.454958396599547</v>
      </c>
      <c r="U318" s="78" t="e">
        <f>IF(T!$A$4&gt;=MONTH(S318),VLOOKUP(S318,'[8]Podklady MZ'!$R$2:$S$367,2,FALSE),NA())</f>
        <v>#N/A</v>
      </c>
      <c r="V318" s="178">
        <f>INDEX([5]PT!$AF$16:$AF$381,DATE(2016,MONTH(S318),DAY(S318))-DATE(2016,1,1)+1,1)</f>
        <v>0</v>
      </c>
      <c r="W318" s="178">
        <f>IF(T!$A$4&lt;MONTH(S318),VLOOKUP(S318,'[8]Podklady MZ'!$R$2:$S$367,2,FALSE),NA())</f>
        <v>30.666666666666668</v>
      </c>
    </row>
    <row r="319" spans="19:23" x14ac:dyDescent="0.2">
      <c r="S319" s="77">
        <f t="shared" si="4"/>
        <v>42322</v>
      </c>
      <c r="T319" s="78">
        <f>INDEX([12]ČR!$D$18:$D$383,DATE(2016,MONTH(S319),DAY(S319))-DATE(2016,1,1)+1,1)/1000000</f>
        <v>22.257612890457679</v>
      </c>
      <c r="U319" s="78" t="e">
        <f>IF(T!$A$4&gt;=MONTH(S319),VLOOKUP(S319,'[8]Podklady MZ'!$R$2:$S$367,2,FALSE),NA())</f>
        <v>#N/A</v>
      </c>
      <c r="V319" s="178">
        <f>INDEX([5]PT!$AF$16:$AF$381,DATE(2016,MONTH(S319),DAY(S319))-DATE(2016,1,1)+1,1)</f>
        <v>0</v>
      </c>
      <c r="W319" s="178">
        <f>IF(T!$A$4&lt;MONTH(S319),VLOOKUP(S319,'[8]Podklady MZ'!$R$2:$S$367,2,FALSE),NA())</f>
        <v>30.666666666666668</v>
      </c>
    </row>
    <row r="320" spans="19:23" x14ac:dyDescent="0.2">
      <c r="S320" s="77">
        <f t="shared" si="4"/>
        <v>42323</v>
      </c>
      <c r="T320" s="78">
        <f>INDEX([12]ČR!$D$18:$D$383,DATE(2016,MONTH(S320),DAY(S320))-DATE(2016,1,1)+1,1)/1000000</f>
        <v>19.787129472882192</v>
      </c>
      <c r="U320" s="78" t="e">
        <f>IF(T!$A$4&gt;=MONTH(S320),VLOOKUP(S320,'[8]Podklady MZ'!$R$2:$S$367,2,FALSE),NA())</f>
        <v>#N/A</v>
      </c>
      <c r="V320" s="178">
        <f>INDEX([5]PT!$AF$16:$AF$381,DATE(2016,MONTH(S320),DAY(S320))-DATE(2016,1,1)+1,1)</f>
        <v>0</v>
      </c>
      <c r="W320" s="178">
        <f>IF(T!$A$4&lt;MONTH(S320),VLOOKUP(S320,'[8]Podklady MZ'!$R$2:$S$367,2,FALSE),NA())</f>
        <v>30.666666666666668</v>
      </c>
    </row>
    <row r="321" spans="19:23" x14ac:dyDescent="0.2">
      <c r="S321" s="77">
        <f t="shared" si="4"/>
        <v>42324</v>
      </c>
      <c r="T321" s="78">
        <f>INDEX([12]ČR!$D$18:$D$383,DATE(2016,MONTH(S321),DAY(S321))-DATE(2016,1,1)+1,1)/1000000</f>
        <v>20.345206402121487</v>
      </c>
      <c r="U321" s="78" t="e">
        <f>IF(T!$A$4&gt;=MONTH(S321),VLOOKUP(S321,'[8]Podklady MZ'!$R$2:$S$367,2,FALSE),NA())</f>
        <v>#N/A</v>
      </c>
      <c r="V321" s="178">
        <f>INDEX([5]PT!$AF$16:$AF$381,DATE(2016,MONTH(S321),DAY(S321))-DATE(2016,1,1)+1,1)</f>
        <v>0</v>
      </c>
      <c r="W321" s="178">
        <f>IF(T!$A$4&lt;MONTH(S321),VLOOKUP(S321,'[8]Podklady MZ'!$R$2:$S$367,2,FALSE),NA())</f>
        <v>30.666666666666668</v>
      </c>
    </row>
    <row r="322" spans="19:23" x14ac:dyDescent="0.2">
      <c r="S322" s="77">
        <f t="shared" si="4"/>
        <v>42325</v>
      </c>
      <c r="T322" s="78">
        <f>INDEX([12]ČR!$D$18:$D$383,DATE(2016,MONTH(S322),DAY(S322))-DATE(2016,1,1)+1,1)/1000000</f>
        <v>22.738910999606844</v>
      </c>
      <c r="U322" s="78" t="e">
        <f>IF(T!$A$4&gt;=MONTH(S322),VLOOKUP(S322,'[8]Podklady MZ'!$R$2:$S$367,2,FALSE),NA())</f>
        <v>#N/A</v>
      </c>
      <c r="V322" s="178">
        <f>INDEX([5]PT!$AF$16:$AF$381,DATE(2016,MONTH(S322),DAY(S322))-DATE(2016,1,1)+1,1)</f>
        <v>0</v>
      </c>
      <c r="W322" s="178">
        <f>IF(T!$A$4&lt;MONTH(S322),VLOOKUP(S322,'[8]Podklady MZ'!$R$2:$S$367,2,FALSE),NA())</f>
        <v>30.666666666666668</v>
      </c>
    </row>
    <row r="323" spans="19:23" x14ac:dyDescent="0.2">
      <c r="S323" s="77">
        <f t="shared" si="4"/>
        <v>42326</v>
      </c>
      <c r="T323" s="78">
        <f>INDEX([12]ČR!$D$18:$D$383,DATE(2016,MONTH(S323),DAY(S323))-DATE(2016,1,1)+1,1)/1000000</f>
        <v>25.684126201302274</v>
      </c>
      <c r="U323" s="78" t="e">
        <f>IF(T!$A$4&gt;=MONTH(S323),VLOOKUP(S323,'[8]Podklady MZ'!$R$2:$S$367,2,FALSE),NA())</f>
        <v>#N/A</v>
      </c>
      <c r="V323" s="178">
        <f>INDEX([5]PT!$AF$16:$AF$381,DATE(2016,MONTH(S323),DAY(S323))-DATE(2016,1,1)+1,1)</f>
        <v>0</v>
      </c>
      <c r="W323" s="178">
        <f>IF(T!$A$4&lt;MONTH(S323),VLOOKUP(S323,'[8]Podklady MZ'!$R$2:$S$367,2,FALSE),NA())</f>
        <v>30.666666666666668</v>
      </c>
    </row>
    <row r="324" spans="19:23" x14ac:dyDescent="0.2">
      <c r="S324" s="77">
        <f t="shared" ref="S324:S367" si="5">S323+1</f>
        <v>42327</v>
      </c>
      <c r="T324" s="78">
        <f>INDEX([12]ČR!$D$18:$D$383,DATE(2016,MONTH(S324),DAY(S324))-DATE(2016,1,1)+1,1)/1000000</f>
        <v>27.277887054788337</v>
      </c>
      <c r="U324" s="78" t="e">
        <f>IF(T!$A$4&gt;=MONTH(S324),VLOOKUP(S324,'[8]Podklady MZ'!$R$2:$S$367,2,FALSE),NA())</f>
        <v>#N/A</v>
      </c>
      <c r="V324" s="178">
        <f>INDEX([5]PT!$AF$16:$AF$381,DATE(2016,MONTH(S324),DAY(S324))-DATE(2016,1,1)+1,1)</f>
        <v>0</v>
      </c>
      <c r="W324" s="178">
        <f>IF(T!$A$4&lt;MONTH(S324),VLOOKUP(S324,'[8]Podklady MZ'!$R$2:$S$367,2,FALSE),NA())</f>
        <v>30.666666666666668</v>
      </c>
    </row>
    <row r="325" spans="19:23" x14ac:dyDescent="0.2">
      <c r="S325" s="77">
        <f t="shared" si="5"/>
        <v>42328</v>
      </c>
      <c r="T325" s="78">
        <f>INDEX([12]ČR!$D$18:$D$383,DATE(2016,MONTH(S325),DAY(S325))-DATE(2016,1,1)+1,1)/1000000</f>
        <v>29.719113556801638</v>
      </c>
      <c r="U325" s="78" t="e">
        <f>IF(T!$A$4&gt;=MONTH(S325),VLOOKUP(S325,'[8]Podklady MZ'!$R$2:$S$367,2,FALSE),NA())</f>
        <v>#N/A</v>
      </c>
      <c r="V325" s="178">
        <f>INDEX([5]PT!$AF$16:$AF$381,DATE(2016,MONTH(S325),DAY(S325))-DATE(2016,1,1)+1,1)</f>
        <v>0</v>
      </c>
      <c r="W325" s="178">
        <f>IF(T!$A$4&lt;MONTH(S325),VLOOKUP(S325,'[8]Podklady MZ'!$R$2:$S$367,2,FALSE),NA())</f>
        <v>30.666666666666668</v>
      </c>
    </row>
    <row r="326" spans="19:23" x14ac:dyDescent="0.2">
      <c r="S326" s="77">
        <f t="shared" si="5"/>
        <v>42329</v>
      </c>
      <c r="T326" s="78">
        <f>INDEX([12]ČR!$D$18:$D$383,DATE(2016,MONTH(S326),DAY(S326))-DATE(2016,1,1)+1,1)/1000000</f>
        <v>29.621216859039418</v>
      </c>
      <c r="U326" s="78" t="e">
        <f>IF(T!$A$4&gt;=MONTH(S326),VLOOKUP(S326,'[8]Podklady MZ'!$R$2:$S$367,2,FALSE),NA())</f>
        <v>#N/A</v>
      </c>
      <c r="V326" s="178">
        <f>INDEX([5]PT!$AF$16:$AF$381,DATE(2016,MONTH(S326),DAY(S326))-DATE(2016,1,1)+1,1)</f>
        <v>0</v>
      </c>
      <c r="W326" s="178">
        <f>IF(T!$A$4&lt;MONTH(S326),VLOOKUP(S326,'[8]Podklady MZ'!$R$2:$S$367,2,FALSE),NA())</f>
        <v>30.666666666666668</v>
      </c>
    </row>
    <row r="327" spans="19:23" x14ac:dyDescent="0.2">
      <c r="S327" s="77">
        <f t="shared" si="5"/>
        <v>42330</v>
      </c>
      <c r="T327" s="78">
        <f>INDEX([12]ČR!$D$18:$D$383,DATE(2016,MONTH(S327),DAY(S327))-DATE(2016,1,1)+1,1)/1000000</f>
        <v>26.33254105264739</v>
      </c>
      <c r="U327" s="78" t="e">
        <f>IF(T!$A$4&gt;=MONTH(S327),VLOOKUP(S327,'[8]Podklady MZ'!$R$2:$S$367,2,FALSE),NA())</f>
        <v>#N/A</v>
      </c>
      <c r="V327" s="178">
        <f>INDEX([5]PT!$AF$16:$AF$381,DATE(2016,MONTH(S327),DAY(S327))-DATE(2016,1,1)+1,1)</f>
        <v>0</v>
      </c>
      <c r="W327" s="178">
        <f>IF(T!$A$4&lt;MONTH(S327),VLOOKUP(S327,'[8]Podklady MZ'!$R$2:$S$367,2,FALSE),NA())</f>
        <v>30.666666666666668</v>
      </c>
    </row>
    <row r="328" spans="19:23" x14ac:dyDescent="0.2">
      <c r="S328" s="77">
        <f t="shared" si="5"/>
        <v>42331</v>
      </c>
      <c r="T328" s="78">
        <f>INDEX([12]ČR!$D$18:$D$383,DATE(2016,MONTH(S328),DAY(S328))-DATE(2016,1,1)+1,1)/1000000</f>
        <v>27.115409336794084</v>
      </c>
      <c r="U328" s="78" t="e">
        <f>IF(T!$A$4&gt;=MONTH(S328),VLOOKUP(S328,'[8]Podklady MZ'!$R$2:$S$367,2,FALSE),NA())</f>
        <v>#N/A</v>
      </c>
      <c r="V328" s="178">
        <f>INDEX([5]PT!$AF$16:$AF$381,DATE(2016,MONTH(S328),DAY(S328))-DATE(2016,1,1)+1,1)</f>
        <v>0</v>
      </c>
      <c r="W328" s="178">
        <f>IF(T!$A$4&lt;MONTH(S328),VLOOKUP(S328,'[8]Podklady MZ'!$R$2:$S$367,2,FALSE),NA())</f>
        <v>30.666666666666668</v>
      </c>
    </row>
    <row r="329" spans="19:23" x14ac:dyDescent="0.2">
      <c r="S329" s="77">
        <f t="shared" si="5"/>
        <v>42332</v>
      </c>
      <c r="T329" s="78">
        <f>INDEX([12]ČR!$D$18:$D$383,DATE(2016,MONTH(S329),DAY(S329))-DATE(2016,1,1)+1,1)/1000000</f>
        <v>30.724654955265521</v>
      </c>
      <c r="U329" s="78" t="e">
        <f>IF(T!$A$4&gt;=MONTH(S329),VLOOKUP(S329,'[8]Podklady MZ'!$R$2:$S$367,2,FALSE),NA())</f>
        <v>#N/A</v>
      </c>
      <c r="V329" s="178">
        <f>INDEX([5]PT!$AF$16:$AF$381,DATE(2016,MONTH(S329),DAY(S329))-DATE(2016,1,1)+1,1)</f>
        <v>0</v>
      </c>
      <c r="W329" s="178">
        <f>IF(T!$A$4&lt;MONTH(S329),VLOOKUP(S329,'[8]Podklady MZ'!$R$2:$S$367,2,FALSE),NA())</f>
        <v>30.666666666666668</v>
      </c>
    </row>
    <row r="330" spans="19:23" x14ac:dyDescent="0.2">
      <c r="S330" s="77">
        <f t="shared" si="5"/>
        <v>42333</v>
      </c>
      <c r="T330" s="78">
        <f>INDEX([12]ČR!$D$18:$D$383,DATE(2016,MONTH(S330),DAY(S330))-DATE(2016,1,1)+1,1)/1000000</f>
        <v>31.346045493034111</v>
      </c>
      <c r="U330" s="78" t="e">
        <f>IF(T!$A$4&gt;=MONTH(S330),VLOOKUP(S330,'[8]Podklady MZ'!$R$2:$S$367,2,FALSE),NA())</f>
        <v>#N/A</v>
      </c>
      <c r="V330" s="178">
        <f>INDEX([5]PT!$AF$16:$AF$381,DATE(2016,MONTH(S330),DAY(S330))-DATE(2016,1,1)+1,1)</f>
        <v>0</v>
      </c>
      <c r="W330" s="178">
        <f>IF(T!$A$4&lt;MONTH(S330),VLOOKUP(S330,'[8]Podklady MZ'!$R$2:$S$367,2,FALSE),NA())</f>
        <v>30.666666666666668</v>
      </c>
    </row>
    <row r="331" spans="19:23" x14ac:dyDescent="0.2">
      <c r="S331" s="77">
        <f t="shared" si="5"/>
        <v>42334</v>
      </c>
      <c r="T331" s="78">
        <f>INDEX([12]ČR!$D$18:$D$383,DATE(2016,MONTH(S331),DAY(S331))-DATE(2016,1,1)+1,1)/1000000</f>
        <v>32.961816098163993</v>
      </c>
      <c r="U331" s="78" t="e">
        <f>IF(T!$A$4&gt;=MONTH(S331),VLOOKUP(S331,'[8]Podklady MZ'!$R$2:$S$367,2,FALSE),NA())</f>
        <v>#N/A</v>
      </c>
      <c r="V331" s="178">
        <f>INDEX([5]PT!$AF$16:$AF$381,DATE(2016,MONTH(S331),DAY(S331))-DATE(2016,1,1)+1,1)</f>
        <v>0</v>
      </c>
      <c r="W331" s="178">
        <f>IF(T!$A$4&lt;MONTH(S331),VLOOKUP(S331,'[8]Podklady MZ'!$R$2:$S$367,2,FALSE),NA())</f>
        <v>30.666666666666668</v>
      </c>
    </row>
    <row r="332" spans="19:23" x14ac:dyDescent="0.2">
      <c r="S332" s="77">
        <f t="shared" si="5"/>
        <v>42335</v>
      </c>
      <c r="T332" s="78">
        <f>INDEX([12]ČR!$D$18:$D$383,DATE(2016,MONTH(S332),DAY(S332))-DATE(2016,1,1)+1,1)/1000000</f>
        <v>34.212026424236335</v>
      </c>
      <c r="U332" s="78" t="e">
        <f>IF(T!$A$4&gt;=MONTH(S332),VLOOKUP(S332,'[8]Podklady MZ'!$R$2:$S$367,2,FALSE),NA())</f>
        <v>#N/A</v>
      </c>
      <c r="V332" s="178">
        <f>INDEX([5]PT!$AF$16:$AF$381,DATE(2016,MONTH(S332),DAY(S332))-DATE(2016,1,1)+1,1)</f>
        <v>0</v>
      </c>
      <c r="W332" s="178">
        <f>IF(T!$A$4&lt;MONTH(S332),VLOOKUP(S332,'[8]Podklady MZ'!$R$2:$S$367,2,FALSE),NA())</f>
        <v>30.666666666666668</v>
      </c>
    </row>
    <row r="333" spans="19:23" x14ac:dyDescent="0.2">
      <c r="S333" s="77">
        <f t="shared" si="5"/>
        <v>42336</v>
      </c>
      <c r="T333" s="78">
        <f>INDEX([12]ČR!$D$18:$D$383,DATE(2016,MONTH(S333),DAY(S333))-DATE(2016,1,1)+1,1)/1000000</f>
        <v>34.11248068993433</v>
      </c>
      <c r="U333" s="78" t="e">
        <f>IF(T!$A$4&gt;=MONTH(S333),VLOOKUP(S333,'[8]Podklady MZ'!$R$2:$S$367,2,FALSE),NA())</f>
        <v>#N/A</v>
      </c>
      <c r="V333" s="178">
        <f>INDEX([5]PT!$AF$16:$AF$381,DATE(2016,MONTH(S333),DAY(S333))-DATE(2016,1,1)+1,1)</f>
        <v>0</v>
      </c>
      <c r="W333" s="178">
        <f>IF(T!$A$4&lt;MONTH(S333),VLOOKUP(S333,'[8]Podklady MZ'!$R$2:$S$367,2,FALSE),NA())</f>
        <v>30.666666666666668</v>
      </c>
    </row>
    <row r="334" spans="19:23" x14ac:dyDescent="0.2">
      <c r="S334" s="77">
        <f t="shared" si="5"/>
        <v>42337</v>
      </c>
      <c r="T334" s="78">
        <f>INDEX([12]ČR!$D$18:$D$383,DATE(2016,MONTH(S334),DAY(S334))-DATE(2016,1,1)+1,1)/1000000</f>
        <v>31.936827460860446</v>
      </c>
      <c r="U334" s="78" t="e">
        <f>IF(T!$A$4&gt;=MONTH(S334),VLOOKUP(S334,'[8]Podklady MZ'!$R$2:$S$367,2,FALSE),NA())</f>
        <v>#N/A</v>
      </c>
      <c r="V334" s="178">
        <f>INDEX([5]PT!$AF$16:$AF$381,DATE(2016,MONTH(S334),DAY(S334))-DATE(2016,1,1)+1,1)</f>
        <v>0</v>
      </c>
      <c r="W334" s="178">
        <f>IF(T!$A$4&lt;MONTH(S334),VLOOKUP(S334,'[8]Podklady MZ'!$R$2:$S$367,2,FALSE),NA())</f>
        <v>30.666666666666668</v>
      </c>
    </row>
    <row r="335" spans="19:23" x14ac:dyDescent="0.2">
      <c r="S335" s="77">
        <f t="shared" si="5"/>
        <v>42338</v>
      </c>
      <c r="T335" s="78">
        <f>INDEX([12]ČR!$D$18:$D$383,DATE(2016,MONTH(S335),DAY(S335))-DATE(2016,1,1)+1,1)/1000000</f>
        <v>32.779629590800965</v>
      </c>
      <c r="U335" s="78" t="e">
        <f>IF(T!$A$4&gt;=MONTH(S335),VLOOKUP(S335,'[8]Podklady MZ'!$R$2:$S$367,2,FALSE),NA())</f>
        <v>#N/A</v>
      </c>
      <c r="V335" s="178">
        <f>INDEX([5]PT!$AF$16:$AF$381,DATE(2016,MONTH(S335),DAY(S335))-DATE(2016,1,1)+1,1)</f>
        <v>0</v>
      </c>
      <c r="W335" s="178">
        <f>IF(T!$A$4&lt;MONTH(S335),VLOOKUP(S335,'[8]Podklady MZ'!$R$2:$S$367,2,FALSE),NA())</f>
        <v>30.666666666666668</v>
      </c>
    </row>
    <row r="336" spans="19:23" x14ac:dyDescent="0.2">
      <c r="S336" s="77">
        <f t="shared" si="5"/>
        <v>42339</v>
      </c>
      <c r="T336" s="78">
        <f>INDEX([12]ČR!$D$18:$D$383,DATE(2016,MONTH(S336),DAY(S336))-DATE(2016,1,1)+1,1)/1000000</f>
        <v>37.854518178144026</v>
      </c>
      <c r="U336" s="78" t="e">
        <f>IF(T!$A$4&gt;=MONTH(S336),VLOOKUP(S336,'[8]Podklady MZ'!$R$2:$S$367,2,FALSE),NA())</f>
        <v>#N/A</v>
      </c>
      <c r="V336" s="178">
        <f>INDEX([5]PT!$AF$16:$AF$381,DATE(2016,MONTH(S336),DAY(S336))-DATE(2016,1,1)+1,1)</f>
        <v>0</v>
      </c>
      <c r="W336" s="178">
        <f>IF(T!$A$4&lt;MONTH(S336),VLOOKUP(S336,'[8]Podklady MZ'!$R$2:$S$367,2,FALSE),NA())</f>
        <v>34.838709677419352</v>
      </c>
    </row>
    <row r="337" spans="19:23" x14ac:dyDescent="0.2">
      <c r="S337" s="77">
        <f t="shared" si="5"/>
        <v>42340</v>
      </c>
      <c r="T337" s="78">
        <f>INDEX([12]ČR!$D$18:$D$383,DATE(2016,MONTH(S337),DAY(S337))-DATE(2016,1,1)+1,1)/1000000</f>
        <v>38.441498500806389</v>
      </c>
      <c r="U337" s="78" t="e">
        <f>IF(T!$A$4&gt;=MONTH(S337),VLOOKUP(S337,'[8]Podklady MZ'!$R$2:$S$367,2,FALSE),NA())</f>
        <v>#N/A</v>
      </c>
      <c r="V337" s="178">
        <f>INDEX([5]PT!$AF$16:$AF$381,DATE(2016,MONTH(S337),DAY(S337))-DATE(2016,1,1)+1,1)</f>
        <v>0</v>
      </c>
      <c r="W337" s="178">
        <f>IF(T!$A$4&lt;MONTH(S337),VLOOKUP(S337,'[8]Podklady MZ'!$R$2:$S$367,2,FALSE),NA())</f>
        <v>34.838709677419352</v>
      </c>
    </row>
    <row r="338" spans="19:23" x14ac:dyDescent="0.2">
      <c r="S338" s="77">
        <f t="shared" si="5"/>
        <v>42341</v>
      </c>
      <c r="T338" s="78">
        <f>INDEX([12]ČR!$D$18:$D$383,DATE(2016,MONTH(S338),DAY(S338))-DATE(2016,1,1)+1,1)/1000000</f>
        <v>36.109693127145711</v>
      </c>
      <c r="U338" s="78" t="e">
        <f>IF(T!$A$4&gt;=MONTH(S338),VLOOKUP(S338,'[8]Podklady MZ'!$R$2:$S$367,2,FALSE),NA())</f>
        <v>#N/A</v>
      </c>
      <c r="V338" s="178">
        <f>INDEX([5]PT!$AF$16:$AF$381,DATE(2016,MONTH(S338),DAY(S338))-DATE(2016,1,1)+1,1)</f>
        <v>0</v>
      </c>
      <c r="W338" s="178">
        <f>IF(T!$A$4&lt;MONTH(S338),VLOOKUP(S338,'[8]Podklady MZ'!$R$2:$S$367,2,FALSE),NA())</f>
        <v>34.838709677419352</v>
      </c>
    </row>
    <row r="339" spans="19:23" x14ac:dyDescent="0.2">
      <c r="S339" s="77">
        <f t="shared" si="5"/>
        <v>42342</v>
      </c>
      <c r="T339" s="78">
        <f>INDEX([12]ČR!$D$18:$D$383,DATE(2016,MONTH(S339),DAY(S339))-DATE(2016,1,1)+1,1)/1000000</f>
        <v>33.026257705300381</v>
      </c>
      <c r="U339" s="78" t="e">
        <f>IF(T!$A$4&gt;=MONTH(S339),VLOOKUP(S339,'[8]Podklady MZ'!$R$2:$S$367,2,FALSE),NA())</f>
        <v>#N/A</v>
      </c>
      <c r="V339" s="178">
        <f>INDEX([5]PT!$AF$16:$AF$381,DATE(2016,MONTH(S339),DAY(S339))-DATE(2016,1,1)+1,1)</f>
        <v>0</v>
      </c>
      <c r="W339" s="178">
        <f>IF(T!$A$4&lt;MONTH(S339),VLOOKUP(S339,'[8]Podklady MZ'!$R$2:$S$367,2,FALSE),NA())</f>
        <v>34.838709677419352</v>
      </c>
    </row>
    <row r="340" spans="19:23" x14ac:dyDescent="0.2">
      <c r="S340" s="77">
        <f t="shared" si="5"/>
        <v>42343</v>
      </c>
      <c r="T340" s="78">
        <f>INDEX([12]ČR!$D$18:$D$383,DATE(2016,MONTH(S340),DAY(S340))-DATE(2016,1,1)+1,1)/1000000</f>
        <v>31.364279491276438</v>
      </c>
      <c r="U340" s="78" t="e">
        <f>IF(T!$A$4&gt;=MONTH(S340),VLOOKUP(S340,'[8]Podklady MZ'!$R$2:$S$367,2,FALSE),NA())</f>
        <v>#N/A</v>
      </c>
      <c r="V340" s="178">
        <f>INDEX([5]PT!$AF$16:$AF$381,DATE(2016,MONTH(S340),DAY(S340))-DATE(2016,1,1)+1,1)</f>
        <v>0</v>
      </c>
      <c r="W340" s="178">
        <f>IF(T!$A$4&lt;MONTH(S340),VLOOKUP(S340,'[8]Podklady MZ'!$R$2:$S$367,2,FALSE),NA())</f>
        <v>34.838709677419352</v>
      </c>
    </row>
    <row r="341" spans="19:23" x14ac:dyDescent="0.2">
      <c r="S341" s="77">
        <f t="shared" si="5"/>
        <v>42344</v>
      </c>
      <c r="T341" s="78">
        <f>INDEX([12]ČR!$D$18:$D$383,DATE(2016,MONTH(S341),DAY(S341))-DATE(2016,1,1)+1,1)/1000000</f>
        <v>28.517927459846142</v>
      </c>
      <c r="U341" s="78" t="e">
        <f>IF(T!$A$4&gt;=MONTH(S341),VLOOKUP(S341,'[8]Podklady MZ'!$R$2:$S$367,2,FALSE),NA())</f>
        <v>#N/A</v>
      </c>
      <c r="V341" s="178">
        <f>INDEX([5]PT!$AF$16:$AF$381,DATE(2016,MONTH(S341),DAY(S341))-DATE(2016,1,1)+1,1)</f>
        <v>0</v>
      </c>
      <c r="W341" s="178">
        <f>IF(T!$A$4&lt;MONTH(S341),VLOOKUP(S341,'[8]Podklady MZ'!$R$2:$S$367,2,FALSE),NA())</f>
        <v>34.838709677419352</v>
      </c>
    </row>
    <row r="342" spans="19:23" x14ac:dyDescent="0.2">
      <c r="S342" s="77">
        <f t="shared" si="5"/>
        <v>42345</v>
      </c>
      <c r="T342" s="78">
        <f>INDEX([12]ČR!$D$18:$D$383,DATE(2016,MONTH(S342),DAY(S342))-DATE(2016,1,1)+1,1)/1000000</f>
        <v>29.51894368749495</v>
      </c>
      <c r="U342" s="78" t="e">
        <f>IF(T!$A$4&gt;=MONTH(S342),VLOOKUP(S342,'[8]Podklady MZ'!$R$2:$S$367,2,FALSE),NA())</f>
        <v>#N/A</v>
      </c>
      <c r="V342" s="178">
        <f>INDEX([5]PT!$AF$16:$AF$381,DATE(2016,MONTH(S342),DAY(S342))-DATE(2016,1,1)+1,1)</f>
        <v>0</v>
      </c>
      <c r="W342" s="178">
        <f>IF(T!$A$4&lt;MONTH(S342),VLOOKUP(S342,'[8]Podklady MZ'!$R$2:$S$367,2,FALSE),NA())</f>
        <v>34.838709677419352</v>
      </c>
    </row>
    <row r="343" spans="19:23" x14ac:dyDescent="0.2">
      <c r="S343" s="77">
        <f t="shared" si="5"/>
        <v>42346</v>
      </c>
      <c r="T343" s="78">
        <f>INDEX([12]ČR!$D$18:$D$383,DATE(2016,MONTH(S343),DAY(S343))-DATE(2016,1,1)+1,1)/1000000</f>
        <v>34.209591018453935</v>
      </c>
      <c r="U343" s="78" t="e">
        <f>IF(T!$A$4&gt;=MONTH(S343),VLOOKUP(S343,'[8]Podklady MZ'!$R$2:$S$367,2,FALSE),NA())</f>
        <v>#N/A</v>
      </c>
      <c r="V343" s="178">
        <f>INDEX([5]PT!$AF$16:$AF$381,DATE(2016,MONTH(S343),DAY(S343))-DATE(2016,1,1)+1,1)</f>
        <v>0</v>
      </c>
      <c r="W343" s="178">
        <f>IF(T!$A$4&lt;MONTH(S343),VLOOKUP(S343,'[8]Podklady MZ'!$R$2:$S$367,2,FALSE),NA())</f>
        <v>34.838709677419352</v>
      </c>
    </row>
    <row r="344" spans="19:23" x14ac:dyDescent="0.2">
      <c r="S344" s="77">
        <f t="shared" si="5"/>
        <v>42347</v>
      </c>
      <c r="T344" s="78">
        <f>INDEX([12]ČR!$D$18:$D$383,DATE(2016,MONTH(S344),DAY(S344))-DATE(2016,1,1)+1,1)/1000000</f>
        <v>37.338847312350239</v>
      </c>
      <c r="U344" s="78" t="e">
        <f>IF(T!$A$4&gt;=MONTH(S344),VLOOKUP(S344,'[8]Podklady MZ'!$R$2:$S$367,2,FALSE),NA())</f>
        <v>#N/A</v>
      </c>
      <c r="V344" s="178">
        <f>INDEX([5]PT!$AF$16:$AF$381,DATE(2016,MONTH(S344),DAY(S344))-DATE(2016,1,1)+1,1)</f>
        <v>0</v>
      </c>
      <c r="W344" s="178">
        <f>IF(T!$A$4&lt;MONTH(S344),VLOOKUP(S344,'[8]Podklady MZ'!$R$2:$S$367,2,FALSE),NA())</f>
        <v>34.838709677419352</v>
      </c>
    </row>
    <row r="345" spans="19:23" x14ac:dyDescent="0.2">
      <c r="S345" s="77">
        <f t="shared" si="5"/>
        <v>42348</v>
      </c>
      <c r="T345" s="78">
        <f>INDEX([12]ČR!$D$18:$D$383,DATE(2016,MONTH(S345),DAY(S345))-DATE(2016,1,1)+1,1)/1000000</f>
        <v>38.204923429852293</v>
      </c>
      <c r="U345" s="78" t="e">
        <f>IF(T!$A$4&gt;=MONTH(S345),VLOOKUP(S345,'[8]Podklady MZ'!$R$2:$S$367,2,FALSE),NA())</f>
        <v>#N/A</v>
      </c>
      <c r="V345" s="178">
        <f>INDEX([5]PT!$AF$16:$AF$381,DATE(2016,MONTH(S345),DAY(S345))-DATE(2016,1,1)+1,1)</f>
        <v>0</v>
      </c>
      <c r="W345" s="178">
        <f>IF(T!$A$4&lt;MONTH(S345),VLOOKUP(S345,'[8]Podklady MZ'!$R$2:$S$367,2,FALSE),NA())</f>
        <v>34.838709677419352</v>
      </c>
    </row>
    <row r="346" spans="19:23" x14ac:dyDescent="0.2">
      <c r="S346" s="77">
        <f t="shared" si="5"/>
        <v>42349</v>
      </c>
      <c r="T346" s="78">
        <f>INDEX([12]ČR!$D$18:$D$383,DATE(2016,MONTH(S346),DAY(S346))-DATE(2016,1,1)+1,1)/1000000</f>
        <v>35.644809926941086</v>
      </c>
      <c r="U346" s="78" t="e">
        <f>IF(T!$A$4&gt;=MONTH(S346),VLOOKUP(S346,'[8]Podklady MZ'!$R$2:$S$367,2,FALSE),NA())</f>
        <v>#N/A</v>
      </c>
      <c r="V346" s="178">
        <f>INDEX([5]PT!$AF$16:$AF$381,DATE(2016,MONTH(S346),DAY(S346))-DATE(2016,1,1)+1,1)</f>
        <v>0</v>
      </c>
      <c r="W346" s="178">
        <f>IF(T!$A$4&lt;MONTH(S346),VLOOKUP(S346,'[8]Podklady MZ'!$R$2:$S$367,2,FALSE),NA())</f>
        <v>34.838709677419352</v>
      </c>
    </row>
    <row r="347" spans="19:23" x14ac:dyDescent="0.2">
      <c r="S347" s="77">
        <f t="shared" si="5"/>
        <v>42350</v>
      </c>
      <c r="T347" s="78">
        <f>INDEX([12]ČR!$D$18:$D$383,DATE(2016,MONTH(S347),DAY(S347))-DATE(2016,1,1)+1,1)/1000000</f>
        <v>31.430502833099503</v>
      </c>
      <c r="U347" s="78" t="e">
        <f>IF(T!$A$4&gt;=MONTH(S347),VLOOKUP(S347,'[8]Podklady MZ'!$R$2:$S$367,2,FALSE),NA())</f>
        <v>#N/A</v>
      </c>
      <c r="V347" s="178">
        <f>INDEX([5]PT!$AF$16:$AF$381,DATE(2016,MONTH(S347),DAY(S347))-DATE(2016,1,1)+1,1)</f>
        <v>0</v>
      </c>
      <c r="W347" s="178">
        <f>IF(T!$A$4&lt;MONTH(S347),VLOOKUP(S347,'[8]Podklady MZ'!$R$2:$S$367,2,FALSE),NA())</f>
        <v>34.838709677419352</v>
      </c>
    </row>
    <row r="348" spans="19:23" x14ac:dyDescent="0.2">
      <c r="S348" s="77">
        <f t="shared" si="5"/>
        <v>42351</v>
      </c>
      <c r="T348" s="78">
        <f>INDEX([12]ČR!$D$18:$D$383,DATE(2016,MONTH(S348),DAY(S348))-DATE(2016,1,1)+1,1)/1000000</f>
        <v>27.420865255375002</v>
      </c>
      <c r="U348" s="78" t="e">
        <f>IF(T!$A$4&gt;=MONTH(S348),VLOOKUP(S348,'[8]Podklady MZ'!$R$2:$S$367,2,FALSE),NA())</f>
        <v>#N/A</v>
      </c>
      <c r="V348" s="178">
        <f>INDEX([5]PT!$AF$16:$AF$381,DATE(2016,MONTH(S348),DAY(S348))-DATE(2016,1,1)+1,1)</f>
        <v>0</v>
      </c>
      <c r="W348" s="178">
        <f>IF(T!$A$4&lt;MONTH(S348),VLOOKUP(S348,'[8]Podklady MZ'!$R$2:$S$367,2,FALSE),NA())</f>
        <v>34.838709677419352</v>
      </c>
    </row>
    <row r="349" spans="19:23" x14ac:dyDescent="0.2">
      <c r="S349" s="77">
        <f t="shared" si="5"/>
        <v>42352</v>
      </c>
      <c r="T349" s="78">
        <f>INDEX([12]ČR!$D$18:$D$383,DATE(2016,MONTH(S349),DAY(S349))-DATE(2016,1,1)+1,1)/1000000</f>
        <v>28.083426580878104</v>
      </c>
      <c r="U349" s="78" t="e">
        <f>IF(T!$A$4&gt;=MONTH(S349),VLOOKUP(S349,'[8]Podklady MZ'!$R$2:$S$367,2,FALSE),NA())</f>
        <v>#N/A</v>
      </c>
      <c r="V349" s="178">
        <f>INDEX([5]PT!$AF$16:$AF$381,DATE(2016,MONTH(S349),DAY(S349))-DATE(2016,1,1)+1,1)</f>
        <v>0</v>
      </c>
      <c r="W349" s="178">
        <f>IF(T!$A$4&lt;MONTH(S349),VLOOKUP(S349,'[8]Podklady MZ'!$R$2:$S$367,2,FALSE),NA())</f>
        <v>34.838709677419352</v>
      </c>
    </row>
    <row r="350" spans="19:23" x14ac:dyDescent="0.2">
      <c r="S350" s="77">
        <f t="shared" si="5"/>
        <v>42353</v>
      </c>
      <c r="T350" s="78">
        <f>INDEX([12]ČR!$D$18:$D$383,DATE(2016,MONTH(S350),DAY(S350))-DATE(2016,1,1)+1,1)/1000000</f>
        <v>30.529867411220717</v>
      </c>
      <c r="U350" s="78" t="e">
        <f>IF(T!$A$4&gt;=MONTH(S350),VLOOKUP(S350,'[8]Podklady MZ'!$R$2:$S$367,2,FALSE),NA())</f>
        <v>#N/A</v>
      </c>
      <c r="V350" s="178">
        <f>INDEX([5]PT!$AF$16:$AF$381,DATE(2016,MONTH(S350),DAY(S350))-DATE(2016,1,1)+1,1)</f>
        <v>0</v>
      </c>
      <c r="W350" s="178">
        <f>IF(T!$A$4&lt;MONTH(S350),VLOOKUP(S350,'[8]Podklady MZ'!$R$2:$S$367,2,FALSE),NA())</f>
        <v>34.838709677419352</v>
      </c>
    </row>
    <row r="351" spans="19:23" x14ac:dyDescent="0.2">
      <c r="S351" s="77">
        <f t="shared" si="5"/>
        <v>42354</v>
      </c>
      <c r="T351" s="78">
        <f>INDEX([12]ČR!$D$18:$D$383,DATE(2016,MONTH(S351),DAY(S351))-DATE(2016,1,1)+1,1)/1000000</f>
        <v>30.919331233765597</v>
      </c>
      <c r="U351" s="78" t="e">
        <f>IF(T!$A$4&gt;=MONTH(S351),VLOOKUP(S351,'[8]Podklady MZ'!$R$2:$S$367,2,FALSE),NA())</f>
        <v>#N/A</v>
      </c>
      <c r="V351" s="178">
        <f>INDEX([5]PT!$AF$16:$AF$381,DATE(2016,MONTH(S351),DAY(S351))-DATE(2016,1,1)+1,1)</f>
        <v>0</v>
      </c>
      <c r="W351" s="178">
        <f>IF(T!$A$4&lt;MONTH(S351),VLOOKUP(S351,'[8]Podklady MZ'!$R$2:$S$367,2,FALSE),NA())</f>
        <v>34.838709677419352</v>
      </c>
    </row>
    <row r="352" spans="19:23" x14ac:dyDescent="0.2">
      <c r="S352" s="77">
        <f t="shared" si="5"/>
        <v>42355</v>
      </c>
      <c r="T352" s="78">
        <f>INDEX([12]ČR!$D$18:$D$383,DATE(2016,MONTH(S352),DAY(S352))-DATE(2016,1,1)+1,1)/1000000</f>
        <v>31.288395402017816</v>
      </c>
      <c r="U352" s="78" t="e">
        <f>IF(T!$A$4&gt;=MONTH(S352),VLOOKUP(S352,'[8]Podklady MZ'!$R$2:$S$367,2,FALSE),NA())</f>
        <v>#N/A</v>
      </c>
      <c r="V352" s="178">
        <f>INDEX([5]PT!$AF$16:$AF$381,DATE(2016,MONTH(S352),DAY(S352))-DATE(2016,1,1)+1,1)</f>
        <v>0</v>
      </c>
      <c r="W352" s="178">
        <f>IF(T!$A$4&lt;MONTH(S352),VLOOKUP(S352,'[8]Podklady MZ'!$R$2:$S$367,2,FALSE),NA())</f>
        <v>34.838709677419352</v>
      </c>
    </row>
    <row r="353" spans="19:23" x14ac:dyDescent="0.2">
      <c r="S353" s="77">
        <f t="shared" si="5"/>
        <v>42356</v>
      </c>
      <c r="T353" s="78">
        <f>INDEX([12]ČR!$D$18:$D$383,DATE(2016,MONTH(S353),DAY(S353))-DATE(2016,1,1)+1,1)/1000000</f>
        <v>28.572530961628207</v>
      </c>
      <c r="U353" s="78" t="e">
        <f>IF(T!$A$4&gt;=MONTH(S353),VLOOKUP(S353,'[8]Podklady MZ'!$R$2:$S$367,2,FALSE),NA())</f>
        <v>#N/A</v>
      </c>
      <c r="V353" s="178">
        <f>INDEX([5]PT!$AF$16:$AF$381,DATE(2016,MONTH(S353),DAY(S353))-DATE(2016,1,1)+1,1)</f>
        <v>0</v>
      </c>
      <c r="W353" s="178">
        <f>IF(T!$A$4&lt;MONTH(S353),VLOOKUP(S353,'[8]Podklady MZ'!$R$2:$S$367,2,FALSE),NA())</f>
        <v>34.838709677419352</v>
      </c>
    </row>
    <row r="354" spans="19:23" x14ac:dyDescent="0.2">
      <c r="S354" s="77">
        <f t="shared" si="5"/>
        <v>42357</v>
      </c>
      <c r="T354" s="78">
        <f>INDEX([12]ČR!$D$18:$D$383,DATE(2016,MONTH(S354),DAY(S354))-DATE(2016,1,1)+1,1)/1000000</f>
        <v>25.029565808429169</v>
      </c>
      <c r="U354" s="78" t="e">
        <f>IF(T!$A$4&gt;=MONTH(S354),VLOOKUP(S354,'[8]Podklady MZ'!$R$2:$S$367,2,FALSE),NA())</f>
        <v>#N/A</v>
      </c>
      <c r="V354" s="178">
        <f>INDEX([5]PT!$AF$16:$AF$381,DATE(2016,MONTH(S354),DAY(S354))-DATE(2016,1,1)+1,1)</f>
        <v>0</v>
      </c>
      <c r="W354" s="178">
        <f>IF(T!$A$4&lt;MONTH(S354),VLOOKUP(S354,'[8]Podklady MZ'!$R$2:$S$367,2,FALSE),NA())</f>
        <v>34.838709677419352</v>
      </c>
    </row>
    <row r="355" spans="19:23" x14ac:dyDescent="0.2">
      <c r="S355" s="77">
        <f t="shared" si="5"/>
        <v>42358</v>
      </c>
      <c r="T355" s="78">
        <f>INDEX([12]ČR!$D$18:$D$383,DATE(2016,MONTH(S355),DAY(S355))-DATE(2016,1,1)+1,1)/1000000</f>
        <v>25.921658317524329</v>
      </c>
      <c r="U355" s="78" t="e">
        <f>IF(T!$A$4&gt;=MONTH(S355),VLOOKUP(S355,'[8]Podklady MZ'!$R$2:$S$367,2,FALSE),NA())</f>
        <v>#N/A</v>
      </c>
      <c r="V355" s="178">
        <f>INDEX([5]PT!$AF$16:$AF$381,DATE(2016,MONTH(S355),DAY(S355))-DATE(2016,1,1)+1,1)</f>
        <v>0</v>
      </c>
      <c r="W355" s="178">
        <f>IF(T!$A$4&lt;MONTH(S355),VLOOKUP(S355,'[8]Podklady MZ'!$R$2:$S$367,2,FALSE),NA())</f>
        <v>34.838709677419352</v>
      </c>
    </row>
    <row r="356" spans="19:23" x14ac:dyDescent="0.2">
      <c r="S356" s="77">
        <f t="shared" si="5"/>
        <v>42359</v>
      </c>
      <c r="T356" s="78">
        <f>INDEX([12]ČR!$D$18:$D$383,DATE(2016,MONTH(S356),DAY(S356))-DATE(2016,1,1)+1,1)/1000000</f>
        <v>27.286221259888482</v>
      </c>
      <c r="U356" s="78" t="e">
        <f>IF(T!$A$4&gt;=MONTH(S356),VLOOKUP(S356,'[8]Podklady MZ'!$R$2:$S$367,2,FALSE),NA())</f>
        <v>#N/A</v>
      </c>
      <c r="V356" s="178">
        <f>INDEX([5]PT!$AF$16:$AF$381,DATE(2016,MONTH(S356),DAY(S356))-DATE(2016,1,1)+1,1)</f>
        <v>0</v>
      </c>
      <c r="W356" s="178">
        <f>IF(T!$A$4&lt;MONTH(S356),VLOOKUP(S356,'[8]Podklady MZ'!$R$2:$S$367,2,FALSE),NA())</f>
        <v>34.838709677419352</v>
      </c>
    </row>
    <row r="357" spans="19:23" x14ac:dyDescent="0.2">
      <c r="S357" s="77">
        <f t="shared" si="5"/>
        <v>42360</v>
      </c>
      <c r="T357" s="78">
        <f>INDEX([12]ČR!$D$18:$D$383,DATE(2016,MONTH(S357),DAY(S357))-DATE(2016,1,1)+1,1)/1000000</f>
        <v>27.236034880550331</v>
      </c>
      <c r="U357" s="78" t="e">
        <f>IF(T!$A$4&gt;=MONTH(S357),VLOOKUP(S357,'[8]Podklady MZ'!$R$2:$S$367,2,FALSE),NA())</f>
        <v>#N/A</v>
      </c>
      <c r="V357" s="178">
        <f>INDEX([5]PT!$AF$16:$AF$381,DATE(2016,MONTH(S357),DAY(S357))-DATE(2016,1,1)+1,1)</f>
        <v>0</v>
      </c>
      <c r="W357" s="178">
        <f>IF(T!$A$4&lt;MONTH(S357),VLOOKUP(S357,'[8]Podklady MZ'!$R$2:$S$367,2,FALSE),NA())</f>
        <v>34.838709677419352</v>
      </c>
    </row>
    <row r="358" spans="19:23" x14ac:dyDescent="0.2">
      <c r="S358" s="77">
        <f t="shared" si="5"/>
        <v>42361</v>
      </c>
      <c r="T358" s="78">
        <f>INDEX([12]ČR!$D$18:$D$383,DATE(2016,MONTH(S358),DAY(S358))-DATE(2016,1,1)+1,1)/1000000</f>
        <v>24.182742733133647</v>
      </c>
      <c r="U358" s="78" t="e">
        <f>IF(T!$A$4&gt;=MONTH(S358),VLOOKUP(S358,'[8]Podklady MZ'!$R$2:$S$367,2,FALSE),NA())</f>
        <v>#N/A</v>
      </c>
      <c r="V358" s="178">
        <f>INDEX([5]PT!$AF$16:$AF$381,DATE(2016,MONTH(S358),DAY(S358))-DATE(2016,1,1)+1,1)</f>
        <v>0</v>
      </c>
      <c r="W358" s="178">
        <f>IF(T!$A$4&lt;MONTH(S358),VLOOKUP(S358,'[8]Podklady MZ'!$R$2:$S$367,2,FALSE),NA())</f>
        <v>34.838709677419352</v>
      </c>
    </row>
    <row r="359" spans="19:23" x14ac:dyDescent="0.2">
      <c r="S359" s="77">
        <f t="shared" si="5"/>
        <v>42362</v>
      </c>
      <c r="T359" s="78">
        <f>INDEX([12]ČR!$D$18:$D$383,DATE(2016,MONTH(S359),DAY(S359))-DATE(2016,1,1)+1,1)/1000000</f>
        <v>23.168486093916595</v>
      </c>
      <c r="U359" s="78" t="e">
        <f>IF(T!$A$4&gt;=MONTH(S359),VLOOKUP(S359,'[8]Podklady MZ'!$R$2:$S$367,2,FALSE),NA())</f>
        <v>#N/A</v>
      </c>
      <c r="V359" s="178">
        <f>INDEX([5]PT!$AF$16:$AF$381,DATE(2016,MONTH(S359),DAY(S359))-DATE(2016,1,1)+1,1)</f>
        <v>0</v>
      </c>
      <c r="W359" s="178">
        <f>IF(T!$A$4&lt;MONTH(S359),VLOOKUP(S359,'[8]Podklady MZ'!$R$2:$S$367,2,FALSE),NA())</f>
        <v>34.838709677419352</v>
      </c>
    </row>
    <row r="360" spans="19:23" x14ac:dyDescent="0.2">
      <c r="S360" s="77">
        <f t="shared" si="5"/>
        <v>42363</v>
      </c>
      <c r="T360" s="78">
        <f>INDEX([12]ČR!$D$18:$D$383,DATE(2016,MONTH(S360),DAY(S360))-DATE(2016,1,1)+1,1)/1000000</f>
        <v>25.0502196645295</v>
      </c>
      <c r="U360" s="78" t="e">
        <f>IF(T!$A$4&gt;=MONTH(S360),VLOOKUP(S360,'[8]Podklady MZ'!$R$2:$S$367,2,FALSE),NA())</f>
        <v>#N/A</v>
      </c>
      <c r="V360" s="178">
        <f>INDEX([5]PT!$AF$16:$AF$381,DATE(2016,MONTH(S360),DAY(S360))-DATE(2016,1,1)+1,1)</f>
        <v>0</v>
      </c>
      <c r="W360" s="178">
        <f>IF(T!$A$4&lt;MONTH(S360),VLOOKUP(S360,'[8]Podklady MZ'!$R$2:$S$367,2,FALSE),NA())</f>
        <v>34.838709677419352</v>
      </c>
    </row>
    <row r="361" spans="19:23" x14ac:dyDescent="0.2">
      <c r="S361" s="77">
        <f t="shared" si="5"/>
        <v>42364</v>
      </c>
      <c r="T361" s="78">
        <f>INDEX([12]ČR!$D$18:$D$383,DATE(2016,MONTH(S361),DAY(S361))-DATE(2016,1,1)+1,1)/1000000</f>
        <v>30.002314163589158</v>
      </c>
      <c r="U361" s="78" t="e">
        <f>IF(T!$A$4&gt;=MONTH(S361),VLOOKUP(S361,'[8]Podklady MZ'!$R$2:$S$367,2,FALSE),NA())</f>
        <v>#N/A</v>
      </c>
      <c r="V361" s="178">
        <f>INDEX([5]PT!$AF$16:$AF$381,DATE(2016,MONTH(S361),DAY(S361))-DATE(2016,1,1)+1,1)</f>
        <v>0</v>
      </c>
      <c r="W361" s="178">
        <f>IF(T!$A$4&lt;MONTH(S361),VLOOKUP(S361,'[8]Podklady MZ'!$R$2:$S$367,2,FALSE),NA())</f>
        <v>34.838709677419352</v>
      </c>
    </row>
    <row r="362" spans="19:23" x14ac:dyDescent="0.2">
      <c r="S362" s="77">
        <f t="shared" si="5"/>
        <v>42365</v>
      </c>
      <c r="T362" s="78">
        <f>INDEX([12]ČR!$D$18:$D$383,DATE(2016,MONTH(S362),DAY(S362))-DATE(2016,1,1)+1,1)/1000000</f>
        <v>33.819575464437477</v>
      </c>
      <c r="U362" s="78" t="e">
        <f>IF(T!$A$4&gt;=MONTH(S362),VLOOKUP(S362,'[8]Podklady MZ'!$R$2:$S$367,2,FALSE),NA())</f>
        <v>#N/A</v>
      </c>
      <c r="V362" s="178">
        <f>INDEX([5]PT!$AF$16:$AF$381,DATE(2016,MONTH(S362),DAY(S362))-DATE(2016,1,1)+1,1)</f>
        <v>0</v>
      </c>
      <c r="W362" s="178">
        <f>IF(T!$A$4&lt;MONTH(S362),VLOOKUP(S362,'[8]Podklady MZ'!$R$2:$S$367,2,FALSE),NA())</f>
        <v>34.838709677419352</v>
      </c>
    </row>
    <row r="363" spans="19:23" x14ac:dyDescent="0.2">
      <c r="S363" s="77">
        <f t="shared" si="5"/>
        <v>42366</v>
      </c>
      <c r="T363" s="78">
        <f>INDEX([12]ČR!$D$18:$D$383,DATE(2016,MONTH(S363),DAY(S363))-DATE(2016,1,1)+1,1)/1000000</f>
        <v>38.256776847175416</v>
      </c>
      <c r="U363" s="78" t="e">
        <f>IF(T!$A$4&gt;=MONTH(S363),VLOOKUP(S363,'[8]Podklady MZ'!$R$2:$S$367,2,FALSE),NA())</f>
        <v>#N/A</v>
      </c>
      <c r="V363" s="178">
        <f>INDEX([5]PT!$AF$16:$AF$381,DATE(2016,MONTH(S363),DAY(S363))-DATE(2016,1,1)+1,1)</f>
        <v>0</v>
      </c>
      <c r="W363" s="178">
        <f>IF(T!$A$4&lt;MONTH(S363),VLOOKUP(S363,'[8]Podklady MZ'!$R$2:$S$367,2,FALSE),NA())</f>
        <v>34.838709677419352</v>
      </c>
    </row>
    <row r="364" spans="19:23" x14ac:dyDescent="0.2">
      <c r="S364" s="77">
        <f t="shared" si="5"/>
        <v>42367</v>
      </c>
      <c r="T364" s="78">
        <f>INDEX([12]ČR!$D$18:$D$383,DATE(2016,MONTH(S364),DAY(S364))-DATE(2016,1,1)+1,1)/1000000</f>
        <v>41.016428883228755</v>
      </c>
      <c r="U364" s="78" t="e">
        <f>IF(T!$A$4&gt;=MONTH(S364),VLOOKUP(S364,'[8]Podklady MZ'!$R$2:$S$367,2,FALSE),NA())</f>
        <v>#N/A</v>
      </c>
      <c r="V364" s="178">
        <f>INDEX([5]PT!$AF$16:$AF$381,DATE(2016,MONTH(S364),DAY(S364))-DATE(2016,1,1)+1,1)</f>
        <v>0</v>
      </c>
      <c r="W364" s="178">
        <f>IF(T!$A$4&lt;MONTH(S364),VLOOKUP(S364,'[8]Podklady MZ'!$R$2:$S$367,2,FALSE),NA())</f>
        <v>34.838709677419352</v>
      </c>
    </row>
    <row r="365" spans="19:23" x14ac:dyDescent="0.2">
      <c r="S365" s="77">
        <f t="shared" si="5"/>
        <v>42368</v>
      </c>
      <c r="T365" s="78">
        <f>INDEX([12]ČR!$D$18:$D$383,DATE(2016,MONTH(S365),DAY(S365))-DATE(2016,1,1)+1,1)/1000000</f>
        <v>40.53163433214683</v>
      </c>
      <c r="U365" s="78" t="e">
        <f>IF(T!$A$4&gt;=MONTH(S365),VLOOKUP(S365,'[8]Podklady MZ'!$R$2:$S$367,2,FALSE),NA())</f>
        <v>#N/A</v>
      </c>
      <c r="V365" s="178">
        <f>INDEX([5]PT!$AF$16:$AF$381,DATE(2016,MONTH(S365),DAY(S365))-DATE(2016,1,1)+1,1)</f>
        <v>0</v>
      </c>
      <c r="W365" s="178">
        <f>IF(T!$A$4&lt;MONTH(S365),VLOOKUP(S365,'[8]Podklady MZ'!$R$2:$S$367,2,FALSE),NA())</f>
        <v>34.838709677419352</v>
      </c>
    </row>
    <row r="366" spans="19:23" x14ac:dyDescent="0.2">
      <c r="S366" s="77">
        <f t="shared" si="5"/>
        <v>42369</v>
      </c>
      <c r="T366" s="78">
        <f>INDEX([12]ČR!$D$18:$D$383,DATE(2016,MONTH(S366),DAY(S366))-DATE(2016,1,1)+1,1)/1000000</f>
        <v>37.874485907892407</v>
      </c>
      <c r="U366" s="78" t="e">
        <f>IF(T!$A$4&gt;=MONTH(S366),VLOOKUP(S366,'[8]Podklady MZ'!$R$2:$S$367,2,FALSE),NA())</f>
        <v>#N/A</v>
      </c>
      <c r="V366" s="178">
        <f>INDEX([5]PT!$AF$16:$AF$381,DATE(2016,MONTH(S366),DAY(S366))-DATE(2016,1,1)+1,1)</f>
        <v>0</v>
      </c>
      <c r="W366" s="178">
        <f>IF(T!$A$4&lt;MONTH(S366),VLOOKUP(S366,'[8]Podklady MZ'!$R$2:$S$367,2,FALSE),NA())</f>
        <v>34.838709677419352</v>
      </c>
    </row>
    <row r="367" spans="19:23" x14ac:dyDescent="0.2">
      <c r="S367" s="77">
        <f t="shared" si="5"/>
        <v>42370</v>
      </c>
      <c r="T367" s="78">
        <f>INDEX([12]ČR!$D$18:$D$383,DATE(2016,MONTH(S367),DAY(S367))-DATE(2016,1,1)+1,1)/1000000</f>
        <v>29.819936957415216</v>
      </c>
      <c r="U367" s="78">
        <f>IF(T!$A$4&gt;=MONTH(S367),VLOOKUP(S367,'[8]Podklady MZ'!$R$2:$S$367,2,FALSE),NA())</f>
        <v>34.064890044007484</v>
      </c>
      <c r="V367" s="178">
        <f>INDEX([5]PT!$AF$16:$AF$381,DATE(2016,MONTH(S367),DAY(S367))-DATE(2016,1,1)+1,1)</f>
        <v>0</v>
      </c>
      <c r="W367" s="178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N1:O1"/>
    <mergeCell ref="A2:O2"/>
    <mergeCell ref="A24:O24"/>
    <mergeCell ref="B27:B28"/>
    <mergeCell ref="A27:A30"/>
    <mergeCell ref="B29:B30"/>
    <mergeCell ref="A39:F39"/>
    <mergeCell ref="A38:O38"/>
    <mergeCell ref="A31:A34"/>
    <mergeCell ref="B31:B32"/>
    <mergeCell ref="B33:B3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9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973" t="s">
        <v>87</v>
      </c>
      <c r="P1" s="973"/>
    </row>
    <row r="2" spans="1:21" ht="15.95" customHeight="1" x14ac:dyDescent="0.25">
      <c r="A2" s="1023" t="s">
        <v>265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</row>
    <row r="3" spans="1:21" ht="14.1" customHeight="1" x14ac:dyDescent="0.25">
      <c r="A3" s="1024">
        <f>T!$I$21</f>
        <v>2015</v>
      </c>
      <c r="B3" s="1024"/>
      <c r="C3" s="1024"/>
      <c r="D3" s="1024"/>
      <c r="E3" s="1024"/>
      <c r="F3" s="1024"/>
      <c r="G3" s="1024"/>
      <c r="H3" s="1024"/>
      <c r="I3" s="1024"/>
      <c r="J3" s="1024"/>
      <c r="K3" s="1024"/>
      <c r="L3" s="1024"/>
      <c r="M3" s="1024"/>
      <c r="N3" s="1024"/>
      <c r="O3" s="1024"/>
      <c r="P3" s="1024"/>
    </row>
    <row r="4" spans="1:21" ht="14.1" customHeight="1" x14ac:dyDescent="0.2">
      <c r="D4" s="513"/>
      <c r="E4" s="513"/>
      <c r="F4" s="513"/>
      <c r="G4" s="513"/>
      <c r="P4" s="601"/>
    </row>
    <row r="5" spans="1:21" ht="18" customHeight="1" x14ac:dyDescent="0.2">
      <c r="A5" s="522"/>
      <c r="B5" s="523"/>
      <c r="C5" s="524"/>
      <c r="D5" s="625" t="s">
        <v>13</v>
      </c>
      <c r="E5" s="625" t="s">
        <v>58</v>
      </c>
      <c r="F5" s="626" t="s">
        <v>59</v>
      </c>
      <c r="G5" s="625" t="s">
        <v>60</v>
      </c>
      <c r="H5" s="625" t="s">
        <v>61</v>
      </c>
      <c r="I5" s="626" t="s">
        <v>62</v>
      </c>
      <c r="J5" s="625" t="s">
        <v>63</v>
      </c>
      <c r="K5" s="625" t="s">
        <v>64</v>
      </c>
      <c r="L5" s="626" t="s">
        <v>65</v>
      </c>
      <c r="M5" s="625" t="s">
        <v>66</v>
      </c>
      <c r="N5" s="625" t="s">
        <v>67</v>
      </c>
      <c r="O5" s="625" t="s">
        <v>68</v>
      </c>
      <c r="P5" s="595" t="s">
        <v>2</v>
      </c>
      <c r="Q5" s="13"/>
    </row>
    <row r="6" spans="1:21" ht="9" customHeight="1" x14ac:dyDescent="0.2">
      <c r="A6" s="1025" t="s">
        <v>401</v>
      </c>
      <c r="B6" s="526"/>
      <c r="C6" s="527"/>
      <c r="D6" s="515"/>
      <c r="E6" s="515"/>
      <c r="F6" s="528"/>
      <c r="G6" s="515"/>
      <c r="H6" s="515"/>
      <c r="I6" s="528"/>
      <c r="J6" s="515"/>
      <c r="K6" s="515"/>
      <c r="L6" s="528"/>
      <c r="M6" s="515"/>
      <c r="N6" s="515"/>
      <c r="O6" s="515"/>
      <c r="P6" s="596"/>
      <c r="Q6" s="13"/>
    </row>
    <row r="7" spans="1:21" ht="18" customHeight="1" x14ac:dyDescent="0.2">
      <c r="A7" s="1021"/>
      <c r="B7" s="578" t="s">
        <v>71</v>
      </c>
      <c r="C7" s="579" t="s">
        <v>253</v>
      </c>
      <c r="D7" s="563">
        <v>1120</v>
      </c>
      <c r="E7" s="627">
        <v>1000</v>
      </c>
      <c r="F7" s="628">
        <v>910</v>
      </c>
      <c r="G7" s="627">
        <v>630</v>
      </c>
      <c r="H7" s="563">
        <v>400</v>
      </c>
      <c r="I7" s="564">
        <v>310</v>
      </c>
      <c r="J7" s="563">
        <v>290</v>
      </c>
      <c r="K7" s="563">
        <v>290</v>
      </c>
      <c r="L7" s="564">
        <v>380</v>
      </c>
      <c r="M7" s="563">
        <v>650</v>
      </c>
      <c r="N7" s="563">
        <v>920</v>
      </c>
      <c r="O7" s="563">
        <v>1080</v>
      </c>
      <c r="P7" s="603">
        <f>SUM(D7:O7)</f>
        <v>7980</v>
      </c>
    </row>
    <row r="8" spans="1:21" ht="18" customHeight="1" x14ac:dyDescent="0.2">
      <c r="A8" s="1021"/>
      <c r="B8" s="578" t="s">
        <v>71</v>
      </c>
      <c r="C8" s="579" t="s">
        <v>398</v>
      </c>
      <c r="D8" s="627">
        <v>11900</v>
      </c>
      <c r="E8" s="627">
        <v>10620</v>
      </c>
      <c r="F8" s="628">
        <v>9660</v>
      </c>
      <c r="G8" s="627">
        <v>6690</v>
      </c>
      <c r="H8" s="563">
        <v>4250</v>
      </c>
      <c r="I8" s="564">
        <v>3290</v>
      </c>
      <c r="J8" s="563">
        <v>3080</v>
      </c>
      <c r="K8" s="563">
        <v>3080</v>
      </c>
      <c r="L8" s="564">
        <v>4040</v>
      </c>
      <c r="M8" s="563">
        <v>6900</v>
      </c>
      <c r="N8" s="563">
        <v>9770</v>
      </c>
      <c r="O8" s="563">
        <v>11470</v>
      </c>
      <c r="P8" s="603">
        <f>SUM(D8:O8)</f>
        <v>84750</v>
      </c>
    </row>
    <row r="9" spans="1:21" ht="18" customHeight="1" x14ac:dyDescent="0.2">
      <c r="A9" s="1021"/>
      <c r="B9" s="572" t="s">
        <v>266</v>
      </c>
      <c r="C9" s="574" t="s">
        <v>255</v>
      </c>
      <c r="D9" s="892">
        <v>-2</v>
      </c>
      <c r="E9" s="892">
        <v>-0.7</v>
      </c>
      <c r="F9" s="893">
        <v>3.3</v>
      </c>
      <c r="G9" s="892">
        <v>7.6</v>
      </c>
      <c r="H9" s="894">
        <v>13</v>
      </c>
      <c r="I9" s="895">
        <v>15.8</v>
      </c>
      <c r="J9" s="894">
        <v>17.5</v>
      </c>
      <c r="K9" s="894">
        <v>17.2</v>
      </c>
      <c r="L9" s="895">
        <v>13</v>
      </c>
      <c r="M9" s="894">
        <v>8</v>
      </c>
      <c r="N9" s="894">
        <v>2.6</v>
      </c>
      <c r="O9" s="894">
        <v>-0.4</v>
      </c>
      <c r="P9" s="896">
        <f>AVERAGE(D9:O9)</f>
        <v>7.9083333333333323</v>
      </c>
    </row>
    <row r="10" spans="1:21" ht="9" customHeight="1" x14ac:dyDescent="0.2">
      <c r="A10" s="1022"/>
      <c r="B10" s="518"/>
      <c r="C10" s="538"/>
      <c r="D10" s="539"/>
      <c r="E10" s="539"/>
      <c r="F10" s="540"/>
      <c r="G10" s="539"/>
      <c r="H10" s="541"/>
      <c r="I10" s="542"/>
      <c r="J10" s="541"/>
      <c r="K10" s="541"/>
      <c r="L10" s="542"/>
      <c r="M10" s="541"/>
      <c r="N10" s="541"/>
      <c r="O10" s="541"/>
      <c r="P10" s="598"/>
    </row>
    <row r="11" spans="1:21" ht="9" customHeight="1" x14ac:dyDescent="0.2">
      <c r="A11" s="1025" t="s">
        <v>270</v>
      </c>
      <c r="B11" s="519"/>
      <c r="C11" s="543"/>
      <c r="D11" s="533"/>
      <c r="E11" s="533"/>
      <c r="F11" s="534"/>
      <c r="G11" s="533"/>
      <c r="H11" s="535"/>
      <c r="I11" s="536"/>
      <c r="J11" s="535"/>
      <c r="K11" s="535"/>
      <c r="L11" s="536"/>
      <c r="M11" s="535"/>
      <c r="N11" s="535"/>
      <c r="O11" s="535"/>
      <c r="P11" s="597"/>
    </row>
    <row r="12" spans="1:21" ht="18" customHeight="1" x14ac:dyDescent="0.2">
      <c r="A12" s="1021"/>
      <c r="B12" s="100" t="s">
        <v>71</v>
      </c>
      <c r="C12" s="575" t="s">
        <v>253</v>
      </c>
      <c r="D12" s="537">
        <f>'[8]Podklady MZ'!D52</f>
        <v>1081.280644710429</v>
      </c>
      <c r="E12" s="537">
        <f>'[8]Podklady MZ'!E52</f>
        <v>989.86689164730865</v>
      </c>
      <c r="F12" s="931">
        <f>'[8]Podklady MZ'!F52</f>
        <v>861.31893732704407</v>
      </c>
      <c r="G12" s="929">
        <f>'[8]Podklady MZ'!G52</f>
        <v>630</v>
      </c>
      <c r="H12" s="929">
        <f>'[8]Podklady MZ'!H52</f>
        <v>399.99999999999972</v>
      </c>
      <c r="I12" s="931">
        <f>'[8]Podklady MZ'!I52</f>
        <v>310</v>
      </c>
      <c r="J12" s="929">
        <f>'[8]Podklady MZ'!J52</f>
        <v>289.99999999999994</v>
      </c>
      <c r="K12" s="929">
        <f>'[8]Podklady MZ'!K52</f>
        <v>289.99999999999994</v>
      </c>
      <c r="L12" s="931">
        <f>'[8]Podklady MZ'!L52</f>
        <v>380.00000000000011</v>
      </c>
      <c r="M12" s="929">
        <f>'[8]Podklady MZ'!M52</f>
        <v>650.00000000000057</v>
      </c>
      <c r="N12" s="929">
        <f>'[8]Podklady MZ'!N52</f>
        <v>919.99999999999966</v>
      </c>
      <c r="O12" s="929">
        <f>'[8]Podklady MZ'!O52</f>
        <v>1080.0000000000002</v>
      </c>
      <c r="P12" s="597">
        <f>SUM(D12:O12)</f>
        <v>7882.4664736847817</v>
      </c>
      <c r="U12" s="67"/>
    </row>
    <row r="13" spans="1:21" ht="18" customHeight="1" x14ac:dyDescent="0.2">
      <c r="A13" s="1021"/>
      <c r="B13" s="100" t="s">
        <v>71</v>
      </c>
      <c r="C13" s="575" t="s">
        <v>398</v>
      </c>
      <c r="D13" s="550">
        <f>'[8]Podklady MZ'!D53</f>
        <v>11492.757934199999</v>
      </c>
      <c r="E13" s="550">
        <f>'[8]Podklady MZ'!E53</f>
        <v>10525.401338</v>
      </c>
      <c r="F13" s="932">
        <f>'[8]Podklady MZ'!F53</f>
        <v>9129.9807356666661</v>
      </c>
      <c r="G13" s="933">
        <f>'[8]Podklady MZ'!G53</f>
        <v>6690</v>
      </c>
      <c r="H13" s="933">
        <f>'[8]Podklady MZ'!H53</f>
        <v>4249.9999999999982</v>
      </c>
      <c r="I13" s="932">
        <f>'[8]Podklady MZ'!I53</f>
        <v>3289.9999999999986</v>
      </c>
      <c r="J13" s="933">
        <f>'[8]Podklady MZ'!J53</f>
        <v>3080.0000000000005</v>
      </c>
      <c r="K13" s="933">
        <f>'[8]Podklady MZ'!K53</f>
        <v>3080.0000000000005</v>
      </c>
      <c r="L13" s="932">
        <f>'[8]Podklady MZ'!L53</f>
        <v>4039.9999999999982</v>
      </c>
      <c r="M13" s="933">
        <f>'[8]Podklady MZ'!M53</f>
        <v>6900.0000000000036</v>
      </c>
      <c r="N13" s="933">
        <f>'[8]Podklady MZ'!N53</f>
        <v>9770</v>
      </c>
      <c r="O13" s="933">
        <f>'[8]Podklady MZ'!O53</f>
        <v>11470</v>
      </c>
      <c r="P13" s="597">
        <f>SUM(D13:O13)</f>
        <v>83718.140007866663</v>
      </c>
    </row>
    <row r="14" spans="1:21" ht="18" customHeight="1" x14ac:dyDescent="0.2">
      <c r="A14" s="1021"/>
      <c r="B14" s="100" t="s">
        <v>246</v>
      </c>
      <c r="C14" s="583" t="s">
        <v>255</v>
      </c>
      <c r="D14" s="550">
        <f>'[8]Podklady MZ'!D54</f>
        <v>1.2161290322580647</v>
      </c>
      <c r="E14" s="550">
        <f>'[8]Podklady MZ'!E54</f>
        <v>0.22142857142857128</v>
      </c>
      <c r="F14" s="932">
        <f>'[8]Podklady MZ'!F54</f>
        <v>4.3258064516129036</v>
      </c>
      <c r="G14" s="933">
        <f>'[8]Podklady MZ'!G54</f>
        <v>7.5999999999999961</v>
      </c>
      <c r="H14" s="933">
        <f>'[8]Podklady MZ'!H54</f>
        <v>13</v>
      </c>
      <c r="I14" s="932">
        <f>'[8]Podklady MZ'!I54</f>
        <v>15.800000000000008</v>
      </c>
      <c r="J14" s="933">
        <f>'[8]Podklady MZ'!J54</f>
        <v>17.5</v>
      </c>
      <c r="K14" s="933">
        <f>'[8]Podklady MZ'!K54</f>
        <v>17.199999999999996</v>
      </c>
      <c r="L14" s="932">
        <f>'[8]Podklady MZ'!L54</f>
        <v>13</v>
      </c>
      <c r="M14" s="933">
        <f>'[8]Podklady MZ'!M54</f>
        <v>8</v>
      </c>
      <c r="N14" s="933">
        <f>'[8]Podklady MZ'!N54</f>
        <v>2.5999999999999996</v>
      </c>
      <c r="O14" s="933">
        <f>'[8]Podklady MZ'!O54</f>
        <v>-0.40000000000000019</v>
      </c>
      <c r="P14" s="597">
        <f>AVERAGE(D14:O14)</f>
        <v>8.3386136712749614</v>
      </c>
    </row>
    <row r="15" spans="1:21" ht="9" customHeight="1" x14ac:dyDescent="0.2">
      <c r="A15" s="1022"/>
      <c r="B15" s="518"/>
      <c r="C15" s="538"/>
      <c r="D15" s="539"/>
      <c r="E15" s="539"/>
      <c r="F15" s="540"/>
      <c r="G15" s="539"/>
      <c r="H15" s="541"/>
      <c r="I15" s="542"/>
      <c r="J15" s="541"/>
      <c r="K15" s="541"/>
      <c r="L15" s="542"/>
      <c r="M15" s="541"/>
      <c r="N15" s="541"/>
      <c r="O15" s="541"/>
      <c r="P15" s="598"/>
    </row>
    <row r="16" spans="1:21" ht="9" customHeight="1" x14ac:dyDescent="0.2">
      <c r="A16" s="1025" t="s">
        <v>271</v>
      </c>
      <c r="B16" s="519"/>
      <c r="C16" s="543"/>
      <c r="D16" s="533"/>
      <c r="E16" s="533"/>
      <c r="F16" s="534"/>
      <c r="G16" s="533"/>
      <c r="H16" s="535"/>
      <c r="I16" s="536"/>
      <c r="J16" s="535"/>
      <c r="K16" s="535"/>
      <c r="L16" s="536"/>
      <c r="M16" s="535"/>
      <c r="N16" s="535"/>
      <c r="O16" s="535"/>
      <c r="P16" s="597"/>
    </row>
    <row r="17" spans="1:16" ht="18" customHeight="1" x14ac:dyDescent="0.2">
      <c r="A17" s="1021"/>
      <c r="B17" s="100" t="s">
        <v>71</v>
      </c>
      <c r="C17" s="575" t="s">
        <v>253</v>
      </c>
      <c r="D17" s="537">
        <f>'[8]Podklady MZ'!D57</f>
        <v>1162.3827182199684</v>
      </c>
      <c r="E17" s="550">
        <f>'[8]Podklady MZ'!E57</f>
        <v>1022.8621044614633</v>
      </c>
      <c r="F17" s="577">
        <f>'[8]Podklady MZ'!F57</f>
        <v>897.28930096087993</v>
      </c>
      <c r="G17" s="550">
        <f>'[8]Podklady MZ'!G57</f>
        <v>629.99999999999989</v>
      </c>
      <c r="H17" s="537">
        <f>'[8]Podklady MZ'!H57</f>
        <v>399.99999999999972</v>
      </c>
      <c r="I17" s="552">
        <f>'[8]Podklady MZ'!I57</f>
        <v>310.00000000000006</v>
      </c>
      <c r="J17" s="930">
        <f>'[8]Podklady MZ'!J57</f>
        <v>289.99999999999994</v>
      </c>
      <c r="K17" s="537">
        <f>'[8]Podklady MZ'!K57</f>
        <v>289.99999999999994</v>
      </c>
      <c r="L17" s="552">
        <f>'[8]Podklady MZ'!L57</f>
        <v>380.00000000000011</v>
      </c>
      <c r="M17" s="537">
        <f>'[8]Podklady MZ'!M57</f>
        <v>650.00000000000057</v>
      </c>
      <c r="N17" s="537">
        <f>'[8]Podklady MZ'!N57</f>
        <v>919.99999999999966</v>
      </c>
      <c r="O17" s="537">
        <f>'[8]Podklady MZ'!O57</f>
        <v>1080.0000000000002</v>
      </c>
      <c r="P17" s="597">
        <f>SUM(D17:O17)</f>
        <v>8032.5341236423128</v>
      </c>
    </row>
    <row r="18" spans="1:16" ht="18" customHeight="1" x14ac:dyDescent="0.2">
      <c r="A18" s="1021"/>
      <c r="B18" s="100" t="s">
        <v>71</v>
      </c>
      <c r="C18" s="575" t="s">
        <v>398</v>
      </c>
      <c r="D18" s="550">
        <f>'[8]Podklady MZ'!D58</f>
        <v>12354.778819681072</v>
      </c>
      <c r="E18" s="550">
        <f>'[8]Podklady MZ'!E58</f>
        <v>10876.244325104813</v>
      </c>
      <c r="F18" s="577">
        <f>'[8]Podklady MZ'!F58</f>
        <v>9511.266590185327</v>
      </c>
      <c r="G18" s="550">
        <f>'[8]Podklady MZ'!G58</f>
        <v>6689.9999999999982</v>
      </c>
      <c r="H18" s="537">
        <f>'[8]Podklady MZ'!H58</f>
        <v>4249.9999999999982</v>
      </c>
      <c r="I18" s="552">
        <f>'[8]Podklady MZ'!I58</f>
        <v>3289.9999999999991</v>
      </c>
      <c r="J18" s="537">
        <f>'[8]Podklady MZ'!J58</f>
        <v>3080.0000000000005</v>
      </c>
      <c r="K18" s="537">
        <f>'[8]Podklady MZ'!K58</f>
        <v>3080.0000000000005</v>
      </c>
      <c r="L18" s="552">
        <f>'[8]Podklady MZ'!L58</f>
        <v>4039.9999999999977</v>
      </c>
      <c r="M18" s="537">
        <f>'[8]Podklady MZ'!M58</f>
        <v>6900.0000000000036</v>
      </c>
      <c r="N18" s="537">
        <f>'[8]Podklady MZ'!N58</f>
        <v>9770</v>
      </c>
      <c r="O18" s="537">
        <f>'[8]Podklady MZ'!O58</f>
        <v>11470</v>
      </c>
      <c r="P18" s="597">
        <f>SUM(D18:O18)</f>
        <v>85312.289734971215</v>
      </c>
    </row>
    <row r="19" spans="1:16" ht="18" customHeight="1" x14ac:dyDescent="0.2">
      <c r="A19" s="1021"/>
      <c r="B19" s="100" t="s">
        <v>266</v>
      </c>
      <c r="C19" s="583" t="s">
        <v>255</v>
      </c>
      <c r="D19" s="550">
        <f>'[8]Podklady MZ'!D59</f>
        <v>-2</v>
      </c>
      <c r="E19" s="550">
        <f>'[8]Podklady MZ'!E59</f>
        <v>-0.7</v>
      </c>
      <c r="F19" s="577">
        <f>'[8]Podklady MZ'!F59</f>
        <v>3.3</v>
      </c>
      <c r="G19" s="550">
        <f>'[8]Podklady MZ'!G59</f>
        <v>7.6</v>
      </c>
      <c r="H19" s="537">
        <f>'[8]Podklady MZ'!H59</f>
        <v>13</v>
      </c>
      <c r="I19" s="552">
        <f>'[8]Podklady MZ'!I59</f>
        <v>15.8</v>
      </c>
      <c r="J19" s="537">
        <f>'[8]Podklady MZ'!J59</f>
        <v>17.5</v>
      </c>
      <c r="K19" s="537">
        <f>'[8]Podklady MZ'!K59</f>
        <v>17.2</v>
      </c>
      <c r="L19" s="552">
        <f>'[8]Podklady MZ'!L59</f>
        <v>13</v>
      </c>
      <c r="M19" s="537">
        <f>'[8]Podklady MZ'!M59</f>
        <v>8</v>
      </c>
      <c r="N19" s="537">
        <f>'[8]Podklady MZ'!N59</f>
        <v>2.6</v>
      </c>
      <c r="O19" s="537">
        <f>'[8]Podklady MZ'!O59</f>
        <v>-0.4</v>
      </c>
      <c r="P19" s="597">
        <f>AVERAGE(D19:O19)</f>
        <v>7.9083333333333323</v>
      </c>
    </row>
    <row r="20" spans="1:16" ht="9" customHeight="1" x14ac:dyDescent="0.2">
      <c r="A20" s="1022"/>
      <c r="B20" s="518"/>
      <c r="C20" s="538"/>
      <c r="D20" s="539"/>
      <c r="E20" s="539"/>
      <c r="F20" s="540"/>
      <c r="G20" s="539"/>
      <c r="H20" s="541"/>
      <c r="I20" s="542"/>
      <c r="J20" s="541"/>
      <c r="K20" s="541"/>
      <c r="L20" s="542"/>
      <c r="M20" s="541"/>
      <c r="N20" s="541"/>
      <c r="O20" s="541"/>
      <c r="P20" s="598"/>
    </row>
    <row r="21" spans="1:16" ht="9" customHeight="1" x14ac:dyDescent="0.2">
      <c r="A21" s="624"/>
      <c r="B21" s="100"/>
      <c r="C21" s="575"/>
      <c r="D21" s="550"/>
      <c r="E21" s="550"/>
      <c r="F21" s="550"/>
      <c r="G21" s="551"/>
      <c r="H21" s="537"/>
      <c r="I21" s="552"/>
      <c r="J21" s="537"/>
      <c r="K21" s="537"/>
      <c r="L21" s="537"/>
      <c r="M21" s="24"/>
      <c r="N21" s="537"/>
      <c r="O21" s="537"/>
      <c r="P21" s="597"/>
    </row>
    <row r="22" spans="1:16" ht="14.1" customHeight="1" x14ac:dyDescent="0.2"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887"/>
    </row>
    <row r="23" spans="1:16" ht="14.1" customHeight="1" x14ac:dyDescent="0.2"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</row>
    <row r="24" spans="1:16" ht="14.1" customHeight="1" x14ac:dyDescent="0.2"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</row>
    <row r="25" spans="1:16" ht="14.1" customHeight="1" x14ac:dyDescent="0.2"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</row>
    <row r="26" spans="1:16" ht="14.1" customHeight="1" x14ac:dyDescent="0.2">
      <c r="D26" s="504">
        <v>1</v>
      </c>
      <c r="E26" s="504">
        <v>2</v>
      </c>
      <c r="F26" s="504">
        <v>3</v>
      </c>
      <c r="G26" s="504">
        <v>4</v>
      </c>
      <c r="H26" s="504">
        <v>5</v>
      </c>
      <c r="I26" s="504">
        <v>6</v>
      </c>
      <c r="J26" s="504">
        <v>7</v>
      </c>
      <c r="K26" s="504">
        <v>8</v>
      </c>
      <c r="L26" s="504">
        <v>9</v>
      </c>
      <c r="M26" s="504">
        <v>10</v>
      </c>
      <c r="N26" s="504">
        <v>11</v>
      </c>
      <c r="O26" s="504">
        <v>12</v>
      </c>
      <c r="P26" s="504"/>
    </row>
    <row r="27" spans="1:16" ht="14.1" customHeight="1" x14ac:dyDescent="0.2">
      <c r="D27" s="504" t="s">
        <v>30</v>
      </c>
      <c r="E27" s="504" t="s">
        <v>31</v>
      </c>
      <c r="F27" s="504" t="s">
        <v>32</v>
      </c>
      <c r="G27" s="504" t="s">
        <v>33</v>
      </c>
      <c r="H27" s="504" t="s">
        <v>34</v>
      </c>
      <c r="I27" s="504" t="s">
        <v>35</v>
      </c>
      <c r="J27" s="504" t="s">
        <v>36</v>
      </c>
      <c r="K27" s="504" t="s">
        <v>37</v>
      </c>
      <c r="L27" s="504" t="s">
        <v>38</v>
      </c>
      <c r="M27" s="504" t="s">
        <v>39</v>
      </c>
      <c r="N27" s="504" t="s">
        <v>40</v>
      </c>
      <c r="O27" s="504" t="s">
        <v>41</v>
      </c>
      <c r="P27" s="504"/>
    </row>
    <row r="28" spans="1:16" x14ac:dyDescent="0.2">
      <c r="C28" s="629" t="s">
        <v>90</v>
      </c>
      <c r="D28" s="504">
        <f>D7</f>
        <v>1120</v>
      </c>
      <c r="E28" s="504">
        <f t="shared" ref="E28:O28" si="0">E7</f>
        <v>1000</v>
      </c>
      <c r="F28" s="504">
        <f t="shared" si="0"/>
        <v>910</v>
      </c>
      <c r="G28" s="504">
        <f t="shared" si="0"/>
        <v>630</v>
      </c>
      <c r="H28" s="504">
        <f t="shared" si="0"/>
        <v>400</v>
      </c>
      <c r="I28" s="504">
        <f t="shared" si="0"/>
        <v>310</v>
      </c>
      <c r="J28" s="504">
        <f t="shared" si="0"/>
        <v>290</v>
      </c>
      <c r="K28" s="504">
        <f t="shared" si="0"/>
        <v>290</v>
      </c>
      <c r="L28" s="504">
        <f t="shared" si="0"/>
        <v>380</v>
      </c>
      <c r="M28" s="504">
        <f t="shared" si="0"/>
        <v>650</v>
      </c>
      <c r="N28" s="504">
        <f t="shared" si="0"/>
        <v>920</v>
      </c>
      <c r="O28" s="504">
        <f t="shared" si="0"/>
        <v>1080</v>
      </c>
      <c r="P28" s="504"/>
    </row>
    <row r="29" spans="1:16" x14ac:dyDescent="0.2">
      <c r="C29" s="629" t="s">
        <v>88</v>
      </c>
      <c r="D29" s="504">
        <f>D12</f>
        <v>1081.280644710429</v>
      </c>
      <c r="E29" s="504">
        <f>IF(T!$A$4&gt;=E$26,E12,0)</f>
        <v>989.86689164730865</v>
      </c>
      <c r="F29" s="504">
        <f>IF(T!$A$4&gt;=F$26,F12,0)</f>
        <v>0</v>
      </c>
      <c r="G29" s="504">
        <f>IF(T!$A$4&gt;=G$26,G12,0)</f>
        <v>0</v>
      </c>
      <c r="H29" s="504">
        <f>IF(T!$A$4&gt;=H$26,H12,0)</f>
        <v>0</v>
      </c>
      <c r="I29" s="504">
        <f>IF(T!$A$4&gt;=I$26,I12,0)</f>
        <v>0</v>
      </c>
      <c r="J29" s="504">
        <f>IF(T!$A$4&gt;=J$26,J12,0)</f>
        <v>0</v>
      </c>
      <c r="K29" s="504">
        <f>IF(T!$A$4&gt;=K$26,K12,0)</f>
        <v>0</v>
      </c>
      <c r="L29" s="504">
        <f>IF(T!$A$4&gt;=L$26,L12,0)</f>
        <v>0</v>
      </c>
      <c r="M29" s="504">
        <f>IF(T!$A$4&gt;=M$26,M12,0)</f>
        <v>0</v>
      </c>
      <c r="N29" s="504">
        <f>IF(T!$A$4&gt;=N$26,N12,0)</f>
        <v>0</v>
      </c>
      <c r="O29" s="504">
        <f>IF(T!$A$4&gt;=O$26,O12,0)</f>
        <v>0</v>
      </c>
      <c r="P29" s="504"/>
    </row>
    <row r="30" spans="1:16" x14ac:dyDescent="0.2">
      <c r="C30" s="629" t="s">
        <v>89</v>
      </c>
      <c r="D30" s="504">
        <f>D17</f>
        <v>1162.3827182199684</v>
      </c>
      <c r="E30" s="504">
        <f>IF(T!$A$4&gt;=E$26,E17,0)</f>
        <v>1022.8621044614633</v>
      </c>
      <c r="F30" s="504">
        <f>IF(T!$A$4&gt;=F$26,F17,0)</f>
        <v>0</v>
      </c>
      <c r="G30" s="504">
        <f>IF(T!$A$4&gt;=G$26,G17,0)</f>
        <v>0</v>
      </c>
      <c r="H30" s="504">
        <f>IF(T!$A$4&gt;=H$26,H17,0)</f>
        <v>0</v>
      </c>
      <c r="I30" s="504">
        <f>IF(T!$A$4&gt;=I$26,I17,0)</f>
        <v>0</v>
      </c>
      <c r="J30" s="504">
        <f>IF(T!$A$4&gt;=J$26,J17,0)</f>
        <v>0</v>
      </c>
      <c r="K30" s="504">
        <f>IF(T!$A$4&gt;=K$26,K17,0)</f>
        <v>0</v>
      </c>
      <c r="L30" s="504">
        <f>IF(T!$A$4&gt;=L$26,L17,0)</f>
        <v>0</v>
      </c>
      <c r="M30" s="504">
        <f>IF(T!$A$4&gt;=M$26,M17,0)</f>
        <v>0</v>
      </c>
      <c r="N30" s="504">
        <f>IF(T!$A$4&gt;=N$26,N17,0)</f>
        <v>0</v>
      </c>
      <c r="O30" s="504">
        <f>IF(T!$A$4&gt;=O$26,O17,0)</f>
        <v>0</v>
      </c>
      <c r="P30" s="504"/>
    </row>
    <row r="31" spans="1:16" x14ac:dyDescent="0.2"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</row>
    <row r="32" spans="1:16" x14ac:dyDescent="0.2"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</row>
    <row r="33" spans="1:16" x14ac:dyDescent="0.2"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</row>
    <row r="34" spans="1:16" x14ac:dyDescent="0.2"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</row>
    <row r="35" spans="1:16" x14ac:dyDescent="0.2"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</row>
    <row r="36" spans="1:16" x14ac:dyDescent="0.2"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</row>
    <row r="40" spans="1:16" ht="5.0999999999999996" customHeight="1" x14ac:dyDescent="0.2">
      <c r="A40" s="185"/>
      <c r="B40" s="185"/>
      <c r="C40" s="185"/>
      <c r="D40" s="897"/>
      <c r="E40" s="185"/>
      <c r="F40" s="51"/>
    </row>
    <row r="41" spans="1:16" x14ac:dyDescent="0.2">
      <c r="A41" s="1041" t="s">
        <v>402</v>
      </c>
      <c r="B41" s="1041"/>
      <c r="C41" s="1041"/>
      <c r="D41" s="1041"/>
      <c r="E41" s="1041"/>
      <c r="F41" s="1041"/>
      <c r="G41" s="1041"/>
      <c r="H41" s="1041"/>
      <c r="I41" s="1041"/>
      <c r="J41" s="1041"/>
      <c r="K41" s="1041"/>
      <c r="L41" s="1041"/>
      <c r="M41" s="1041"/>
      <c r="N41" s="1041"/>
      <c r="O41" s="1041"/>
      <c r="P41" s="1041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E15:O19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F58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12.140625" style="651" customWidth="1"/>
    <col min="2" max="2" width="32.7109375" style="651" customWidth="1"/>
    <col min="3" max="3" width="33" style="651" customWidth="1"/>
    <col min="4" max="5" width="8.7109375" style="651" customWidth="1"/>
    <col min="6" max="16384" width="9.140625" style="651"/>
  </cols>
  <sheetData>
    <row r="1" spans="1:6" x14ac:dyDescent="0.2">
      <c r="E1" s="514" t="s">
        <v>91</v>
      </c>
      <c r="F1" s="741"/>
    </row>
    <row r="3" spans="1:6" ht="18.75" customHeight="1" x14ac:dyDescent="0.25">
      <c r="A3" s="1060" t="s">
        <v>395</v>
      </c>
      <c r="B3" s="1060"/>
      <c r="C3" s="1060"/>
      <c r="D3" s="1060"/>
      <c r="E3" s="1060"/>
    </row>
    <row r="4" spans="1:6" ht="18" customHeight="1" x14ac:dyDescent="0.25">
      <c r="B4" s="778" t="str">
        <f>T!G19</f>
        <v>Únor</v>
      </c>
      <c r="C4" s="779">
        <f>T!I21</f>
        <v>2015</v>
      </c>
      <c r="D4" s="743"/>
      <c r="E4" s="744"/>
    </row>
    <row r="5" spans="1:6" ht="18" customHeight="1" x14ac:dyDescent="0.2">
      <c r="B5" s="1061" t="s">
        <v>326</v>
      </c>
      <c r="C5" s="1062"/>
      <c r="D5" s="1061" t="s">
        <v>327</v>
      </c>
      <c r="E5" s="1063"/>
    </row>
    <row r="6" spans="1:6" ht="18" customHeight="1" x14ac:dyDescent="0.2">
      <c r="A6" s="745" t="s">
        <v>328</v>
      </c>
      <c r="B6" s="1056" t="s">
        <v>329</v>
      </c>
      <c r="C6" s="1057"/>
      <c r="D6" s="1058">
        <f>D20</f>
        <v>102</v>
      </c>
      <c r="E6" s="1059"/>
    </row>
    <row r="7" spans="1:6" ht="18" customHeight="1" x14ac:dyDescent="0.2">
      <c r="A7" s="745" t="s">
        <v>330</v>
      </c>
      <c r="B7" s="1056" t="s">
        <v>331</v>
      </c>
      <c r="C7" s="1057"/>
      <c r="D7" s="1058">
        <f>D8-D6</f>
        <v>126</v>
      </c>
      <c r="E7" s="1059"/>
    </row>
    <row r="8" spans="1:6" ht="18" customHeight="1" x14ac:dyDescent="0.2">
      <c r="A8" s="745" t="s">
        <v>2</v>
      </c>
      <c r="B8" s="1056" t="s">
        <v>332</v>
      </c>
      <c r="C8" s="1057"/>
      <c r="D8" s="1058">
        <f>INDEX('[14]Podklady MZ'!$D$8:$AA$8,1,2*T!$A$4-1)</f>
        <v>228</v>
      </c>
      <c r="E8" s="1059"/>
    </row>
    <row r="9" spans="1:6" ht="18" customHeight="1" x14ac:dyDescent="0.25">
      <c r="B9" s="746"/>
      <c r="C9" s="743"/>
      <c r="D9" s="1068"/>
      <c r="E9" s="1069"/>
    </row>
    <row r="10" spans="1:6" ht="18" customHeight="1" x14ac:dyDescent="0.25">
      <c r="B10" s="742"/>
      <c r="C10" s="743"/>
      <c r="D10" s="743"/>
      <c r="E10" s="744"/>
    </row>
    <row r="11" spans="1:6" ht="18" customHeight="1" x14ac:dyDescent="0.2">
      <c r="B11" s="747" t="str">
        <f>A6</f>
        <v>BSD ANO</v>
      </c>
      <c r="C11" s="748">
        <f>D6/D8</f>
        <v>0.44736842105263158</v>
      </c>
      <c r="D11" s="748"/>
      <c r="E11" s="749"/>
    </row>
    <row r="12" spans="1:6" ht="18" customHeight="1" x14ac:dyDescent="0.2">
      <c r="A12" s="750"/>
      <c r="B12" s="751" t="str">
        <f>A7</f>
        <v>BSD NE</v>
      </c>
      <c r="C12" s="752">
        <f>D7/D8</f>
        <v>0.55263157894736847</v>
      </c>
      <c r="D12" s="752"/>
      <c r="E12" s="749"/>
    </row>
    <row r="13" spans="1:6" ht="18" customHeight="1" x14ac:dyDescent="0.2">
      <c r="B13" s="747"/>
      <c r="C13" s="753">
        <f>SUM(C11:C12)</f>
        <v>1</v>
      </c>
      <c r="D13" s="753"/>
      <c r="E13" s="754"/>
    </row>
    <row r="14" spans="1:6" ht="18" customHeight="1" x14ac:dyDescent="0.25">
      <c r="B14" s="742"/>
      <c r="C14" s="743"/>
      <c r="D14" s="1070" t="s">
        <v>333</v>
      </c>
      <c r="E14" s="1064" t="s">
        <v>334</v>
      </c>
    </row>
    <row r="15" spans="1:6" ht="15" customHeight="1" x14ac:dyDescent="0.2">
      <c r="A15" s="755"/>
      <c r="B15" s="1066" t="s">
        <v>335</v>
      </c>
      <c r="C15" s="1066"/>
      <c r="D15" s="1071"/>
      <c r="E15" s="1065"/>
    </row>
    <row r="16" spans="1:6" ht="15" customHeight="1" x14ac:dyDescent="0.2">
      <c r="A16" s="756" t="s">
        <v>336</v>
      </c>
      <c r="B16" s="1072" t="s">
        <v>337</v>
      </c>
      <c r="C16" s="1073"/>
      <c r="D16" s="757">
        <f>INDEX('[14]Podklady MZ'!D13:AA16,1,2*T!$A$4-1)</f>
        <v>63</v>
      </c>
      <c r="E16" s="758">
        <f>INDEX('[14]Podklady MZ'!E13:AB16,1,2*T!$A$4-1)</f>
        <v>82</v>
      </c>
      <c r="F16" s="96"/>
    </row>
    <row r="17" spans="1:6" ht="15" customHeight="1" x14ac:dyDescent="0.2">
      <c r="A17" s="756" t="s">
        <v>338</v>
      </c>
      <c r="B17" s="1072" t="s">
        <v>339</v>
      </c>
      <c r="C17" s="1073"/>
      <c r="D17" s="757">
        <f>INDEX('[14]Podklady MZ'!D14:AA17,1,2*T!$A$4-1)</f>
        <v>20</v>
      </c>
      <c r="E17" s="758">
        <f>INDEX('[14]Podklady MZ'!E14:AB17,1,2*T!$A$4-1)</f>
        <v>77</v>
      </c>
      <c r="F17" s="96"/>
    </row>
    <row r="18" spans="1:6" ht="15" customHeight="1" x14ac:dyDescent="0.2">
      <c r="A18" s="756" t="s">
        <v>340</v>
      </c>
      <c r="B18" s="1072" t="s">
        <v>341</v>
      </c>
      <c r="C18" s="1073"/>
      <c r="D18" s="757">
        <f>INDEX('[14]Podklady MZ'!D15:AA18,1,2*T!$A$4-1)</f>
        <v>6</v>
      </c>
      <c r="E18" s="758">
        <f>INDEX('[14]Podklady MZ'!E15:AB18,1,2*T!$A$4-1)</f>
        <v>14</v>
      </c>
      <c r="F18" s="96"/>
    </row>
    <row r="19" spans="1:6" ht="15" customHeight="1" thickBot="1" x14ac:dyDescent="0.25">
      <c r="A19" s="759" t="s">
        <v>342</v>
      </c>
      <c r="B19" s="1074" t="s">
        <v>343</v>
      </c>
      <c r="C19" s="1075"/>
      <c r="D19" s="760">
        <f>INDEX('[14]Podklady MZ'!D16:AA19,1,2*T!$A$4-1)</f>
        <v>13</v>
      </c>
      <c r="E19" s="760">
        <f>INDEX('[14]Podklady MZ'!E16:AB19,1,2*T!$A$4-1)</f>
        <v>16</v>
      </c>
      <c r="F19" s="96"/>
    </row>
    <row r="20" spans="1:6" ht="15" customHeight="1" thickTop="1" x14ac:dyDescent="0.2">
      <c r="A20" s="761"/>
      <c r="C20" s="762" t="s">
        <v>2</v>
      </c>
      <c r="D20" s="763">
        <f>SUM(D16:D19)</f>
        <v>102</v>
      </c>
      <c r="E20" s="764">
        <f>SUM(E16:E19)</f>
        <v>189</v>
      </c>
      <c r="F20" s="96"/>
    </row>
    <row r="21" spans="1:6" ht="15" customHeight="1" x14ac:dyDescent="0.2">
      <c r="A21" s="654"/>
      <c r="C21" s="654"/>
      <c r="D21" s="765"/>
      <c r="E21" s="766"/>
    </row>
    <row r="22" spans="1:6" ht="15" customHeight="1" x14ac:dyDescent="0.2">
      <c r="E22" s="767"/>
    </row>
    <row r="23" spans="1:6" ht="15" customHeight="1" x14ac:dyDescent="0.2">
      <c r="C23" s="750"/>
      <c r="D23" s="750"/>
      <c r="E23" s="768"/>
    </row>
    <row r="24" spans="1:6" ht="15" customHeight="1" x14ac:dyDescent="0.2">
      <c r="C24" s="750"/>
      <c r="D24" s="750"/>
      <c r="E24" s="768"/>
    </row>
    <row r="25" spans="1:6" ht="15" customHeight="1" x14ac:dyDescent="0.2">
      <c r="C25" s="750"/>
      <c r="D25" s="750"/>
      <c r="E25" s="768"/>
    </row>
    <row r="26" spans="1:6" ht="15" customHeight="1" x14ac:dyDescent="0.2">
      <c r="C26" s="750"/>
      <c r="D26" s="750"/>
      <c r="E26" s="768"/>
    </row>
    <row r="27" spans="1:6" ht="15" customHeight="1" x14ac:dyDescent="0.2">
      <c r="E27" s="768"/>
    </row>
    <row r="28" spans="1:6" ht="15" customHeight="1" x14ac:dyDescent="0.2">
      <c r="C28" s="750"/>
      <c r="D28" s="750"/>
      <c r="E28" s="768"/>
    </row>
    <row r="29" spans="1:6" ht="15" customHeight="1" x14ac:dyDescent="0.2">
      <c r="C29" s="750"/>
      <c r="D29" s="750"/>
      <c r="E29" s="768"/>
    </row>
    <row r="30" spans="1:6" ht="15" customHeight="1" x14ac:dyDescent="0.2">
      <c r="C30" s="750"/>
      <c r="D30" s="750"/>
      <c r="E30" s="768"/>
    </row>
    <row r="31" spans="1:6" ht="15" customHeight="1" x14ac:dyDescent="0.2">
      <c r="C31" s="750"/>
      <c r="D31" s="750"/>
      <c r="E31" s="768"/>
    </row>
    <row r="32" spans="1:6" ht="15" customHeight="1" x14ac:dyDescent="0.2">
      <c r="C32" s="750"/>
      <c r="D32" s="1070" t="s">
        <v>344</v>
      </c>
      <c r="E32" s="1064" t="s">
        <v>345</v>
      </c>
    </row>
    <row r="33" spans="1:5" ht="15" customHeight="1" x14ac:dyDescent="0.2">
      <c r="A33" s="755"/>
      <c r="B33" s="1066" t="s">
        <v>346</v>
      </c>
      <c r="C33" s="1067"/>
      <c r="D33" s="1076"/>
      <c r="E33" s="1065"/>
    </row>
    <row r="34" spans="1:5" ht="15" customHeight="1" x14ac:dyDescent="0.2">
      <c r="A34" s="756" t="s">
        <v>347</v>
      </c>
      <c r="B34" s="1072" t="s">
        <v>348</v>
      </c>
      <c r="C34" s="1073"/>
      <c r="D34" s="757">
        <f>INDEX('[14]Podklady MZ'!D22:AA27,1,2*T!$A$4-1)</f>
        <v>13</v>
      </c>
      <c r="E34" s="758">
        <f>INDEX('[14]Podklady MZ'!E22:AB27,1,2*T!$A$4-1)</f>
        <v>16</v>
      </c>
    </row>
    <row r="35" spans="1:5" ht="15" customHeight="1" x14ac:dyDescent="0.2">
      <c r="A35" s="756" t="s">
        <v>349</v>
      </c>
      <c r="B35" s="1072" t="s">
        <v>350</v>
      </c>
      <c r="C35" s="1073"/>
      <c r="D35" s="757">
        <f>INDEX('[14]Podklady MZ'!D23:AA28,1,2*T!$A$4-1)</f>
        <v>4</v>
      </c>
      <c r="E35" s="758">
        <f>INDEX('[14]Podklady MZ'!E23:AB28,1,2*T!$A$4-1)</f>
        <v>4</v>
      </c>
    </row>
    <row r="36" spans="1:5" ht="15" customHeight="1" x14ac:dyDescent="0.2">
      <c r="A36" s="756" t="s">
        <v>351</v>
      </c>
      <c r="B36" s="1072" t="s">
        <v>352</v>
      </c>
      <c r="C36" s="1073"/>
      <c r="D36" s="757">
        <f>INDEX('[14]Podklady MZ'!D24:AA29,1,2*T!$A$4-1)</f>
        <v>17</v>
      </c>
      <c r="E36" s="758">
        <f>INDEX('[14]Podklady MZ'!E24:AB29,1,2*T!$A$4-1)</f>
        <v>55</v>
      </c>
    </row>
    <row r="37" spans="1:5" ht="15" customHeight="1" x14ac:dyDescent="0.2">
      <c r="A37" s="756" t="s">
        <v>353</v>
      </c>
      <c r="B37" s="1072" t="s">
        <v>354</v>
      </c>
      <c r="C37" s="1073"/>
      <c r="D37" s="757">
        <f>INDEX('[14]Podklady MZ'!D25:AA30,1,2*T!$A$4-1)</f>
        <v>3</v>
      </c>
      <c r="E37" s="758">
        <f>INDEX('[14]Podklady MZ'!E25:AB30,1,2*T!$A$4-1)</f>
        <v>5</v>
      </c>
    </row>
    <row r="38" spans="1:5" ht="15" customHeight="1" x14ac:dyDescent="0.2">
      <c r="A38" s="756" t="s">
        <v>355</v>
      </c>
      <c r="B38" s="1072" t="s">
        <v>356</v>
      </c>
      <c r="C38" s="1073"/>
      <c r="D38" s="757">
        <f>INDEX('[14]Podklady MZ'!D26:AA31,1,2*T!$A$4-1)</f>
        <v>2</v>
      </c>
      <c r="E38" s="758">
        <f>INDEX('[14]Podklady MZ'!E26:AB31,1,2*T!$A$4-1)</f>
        <v>5</v>
      </c>
    </row>
    <row r="39" spans="1:5" ht="15" customHeight="1" x14ac:dyDescent="0.2">
      <c r="A39" s="756" t="s">
        <v>357</v>
      </c>
      <c r="B39" s="1072" t="s">
        <v>358</v>
      </c>
      <c r="C39" s="1073"/>
      <c r="D39" s="757">
        <f>INDEX('[14]Podklady MZ'!D27:AA32,1,2*T!$A$4-1)</f>
        <v>84</v>
      </c>
      <c r="E39" s="758">
        <f>INDEX('[14]Podklady MZ'!E27:AB32,1,2*T!$A$4-1)</f>
        <v>100</v>
      </c>
    </row>
    <row r="40" spans="1:5" ht="15" customHeight="1" x14ac:dyDescent="0.2">
      <c r="A40" s="755"/>
      <c r="C40" s="755"/>
      <c r="D40" s="654"/>
      <c r="E40" s="769"/>
    </row>
    <row r="41" spans="1:5" ht="15" customHeight="1" x14ac:dyDescent="0.25">
      <c r="C41" s="1077"/>
      <c r="D41" s="1077"/>
      <c r="E41" s="1077"/>
    </row>
    <row r="42" spans="1:5" ht="15" customHeight="1" x14ac:dyDescent="0.2">
      <c r="A42" s="770"/>
      <c r="B42" s="771" t="str">
        <f>D32</f>
        <v>počet
 subjektů</v>
      </c>
      <c r="C42" s="771" t="str">
        <f>E32</f>
        <v>počet
zajištění</v>
      </c>
    </row>
    <row r="43" spans="1:5" ht="15" customHeight="1" x14ac:dyDescent="0.2">
      <c r="A43" s="772" t="str">
        <f>A34</f>
        <v>a)</v>
      </c>
      <c r="B43" s="771">
        <f>D34</f>
        <v>13</v>
      </c>
      <c r="C43" s="771">
        <f>E34</f>
        <v>16</v>
      </c>
      <c r="D43" s="767"/>
      <c r="E43" s="767"/>
    </row>
    <row r="44" spans="1:5" ht="15" customHeight="1" x14ac:dyDescent="0.2">
      <c r="A44" s="772" t="str">
        <f t="shared" ref="A44:A48" si="0">A35</f>
        <v>b)</v>
      </c>
      <c r="B44" s="771">
        <f t="shared" ref="B44:C48" si="1">D35</f>
        <v>4</v>
      </c>
      <c r="C44" s="771">
        <f t="shared" si="1"/>
        <v>4</v>
      </c>
      <c r="D44" s="767"/>
      <c r="E44" s="767"/>
    </row>
    <row r="45" spans="1:5" ht="15" customHeight="1" x14ac:dyDescent="0.2">
      <c r="A45" s="772" t="str">
        <f t="shared" si="0"/>
        <v>c)</v>
      </c>
      <c r="B45" s="771">
        <f t="shared" si="1"/>
        <v>17</v>
      </c>
      <c r="C45" s="771">
        <f t="shared" si="1"/>
        <v>55</v>
      </c>
      <c r="D45" s="767"/>
      <c r="E45" s="767"/>
    </row>
    <row r="46" spans="1:5" ht="15" customHeight="1" x14ac:dyDescent="0.2">
      <c r="A46" s="772" t="str">
        <f t="shared" si="0"/>
        <v>d)</v>
      </c>
      <c r="B46" s="771">
        <f t="shared" si="1"/>
        <v>3</v>
      </c>
      <c r="C46" s="771">
        <f t="shared" si="1"/>
        <v>5</v>
      </c>
      <c r="D46" s="767"/>
      <c r="E46" s="767"/>
    </row>
    <row r="47" spans="1:5" ht="15" customHeight="1" x14ac:dyDescent="0.2">
      <c r="A47" s="772" t="str">
        <f t="shared" si="0"/>
        <v>e)</v>
      </c>
      <c r="B47" s="771">
        <f t="shared" si="1"/>
        <v>2</v>
      </c>
      <c r="C47" s="771">
        <f t="shared" si="1"/>
        <v>5</v>
      </c>
      <c r="D47" s="767"/>
      <c r="E47" s="767"/>
    </row>
    <row r="48" spans="1:5" ht="15" customHeight="1" x14ac:dyDescent="0.2">
      <c r="A48" s="772" t="str">
        <f t="shared" si="0"/>
        <v>f)</v>
      </c>
      <c r="B48" s="771">
        <f t="shared" si="1"/>
        <v>84</v>
      </c>
      <c r="C48" s="771">
        <f t="shared" si="1"/>
        <v>100</v>
      </c>
      <c r="D48" s="767"/>
      <c r="E48" s="767"/>
    </row>
    <row r="49" spans="1:1" ht="15" customHeight="1" x14ac:dyDescent="0.2"/>
    <row r="50" spans="1:1" ht="15" customHeight="1" x14ac:dyDescent="0.2"/>
    <row r="51" spans="1:1" ht="15" customHeight="1" x14ac:dyDescent="0.2">
      <c r="A51" s="96" t="s">
        <v>289</v>
      </c>
    </row>
    <row r="52" spans="1:1" ht="15" customHeight="1" x14ac:dyDescent="0.2"/>
    <row r="53" spans="1:1" ht="15" customHeight="1" x14ac:dyDescent="0.2"/>
    <row r="54" spans="1:1" ht="15" customHeight="1" x14ac:dyDescent="0.2"/>
    <row r="55" spans="1:1" ht="15" customHeight="1" x14ac:dyDescent="0.2"/>
    <row r="56" spans="1:1" ht="15" customHeight="1" x14ac:dyDescent="0.2"/>
    <row r="57" spans="1:1" ht="15" customHeight="1" x14ac:dyDescent="0.2"/>
    <row r="58" spans="1:1" ht="15" customHeight="1" x14ac:dyDescent="0.2"/>
  </sheetData>
  <mergeCells count="27">
    <mergeCell ref="C41:E41"/>
    <mergeCell ref="B34:C34"/>
    <mergeCell ref="B35:C35"/>
    <mergeCell ref="B36:C36"/>
    <mergeCell ref="B37:C37"/>
    <mergeCell ref="B38:C38"/>
    <mergeCell ref="B39:C39"/>
    <mergeCell ref="E32:E33"/>
    <mergeCell ref="B33:C33"/>
    <mergeCell ref="B8:C8"/>
    <mergeCell ref="D8:E8"/>
    <mergeCell ref="D9:E9"/>
    <mergeCell ref="D14:D15"/>
    <mergeCell ref="E14:E15"/>
    <mergeCell ref="B15:C15"/>
    <mergeCell ref="B16:C16"/>
    <mergeCell ref="B17:C17"/>
    <mergeCell ref="B18:C18"/>
    <mergeCell ref="B19:C19"/>
    <mergeCell ref="D32:D33"/>
    <mergeCell ref="B7:C7"/>
    <mergeCell ref="D7:E7"/>
    <mergeCell ref="A3:E3"/>
    <mergeCell ref="B5:C5"/>
    <mergeCell ref="D5:E5"/>
    <mergeCell ref="B6:C6"/>
    <mergeCell ref="D6:E6"/>
  </mergeCells>
  <pageMargins left="0.6692913385826772" right="0.19685039370078741" top="0.31496062992125984" bottom="0.19685039370078741" header="0.23622047244094491" footer="0.15748031496062992"/>
  <pageSetup paperSize="9" firstPageNumber="32" orientation="portrait" useFirstPageNumber="1" r:id="rId1"/>
  <headerFooter scaleWithDoc="0"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K53"/>
  <sheetViews>
    <sheetView view="pageBreakPreview" topLeftCell="A10" zoomScaleNormal="100" zoomScaleSheetLayoutView="100" workbookViewId="0">
      <selection activeCell="L17" sqref="L17"/>
    </sheetView>
  </sheetViews>
  <sheetFormatPr defaultRowHeight="12.75" x14ac:dyDescent="0.2"/>
  <cols>
    <col min="1" max="1" width="30.140625" style="651" customWidth="1"/>
    <col min="2" max="7" width="9.7109375" style="651" customWidth="1"/>
    <col min="8" max="16384" width="9.140625" style="651"/>
  </cols>
  <sheetData>
    <row r="1" spans="1:11" x14ac:dyDescent="0.2">
      <c r="F1" s="1078" t="s">
        <v>220</v>
      </c>
      <c r="G1" s="1078"/>
    </row>
    <row r="2" spans="1:11" ht="15.75" x14ac:dyDescent="0.25">
      <c r="A2" s="1079" t="s">
        <v>397</v>
      </c>
      <c r="B2" s="1079"/>
      <c r="C2" s="1079"/>
      <c r="D2" s="1079"/>
      <c r="E2" s="1079"/>
      <c r="F2" s="1079"/>
      <c r="G2" s="1079"/>
    </row>
    <row r="3" spans="1:11" ht="15.75" x14ac:dyDescent="0.25">
      <c r="A3" s="652"/>
      <c r="B3" s="652"/>
      <c r="C3" s="780" t="str">
        <f>T!G19</f>
        <v>Únor</v>
      </c>
      <c r="D3" s="781">
        <f>T!I21</f>
        <v>2015</v>
      </c>
      <c r="F3" s="653"/>
      <c r="G3" s="653"/>
    </row>
    <row r="4" spans="1:11" x14ac:dyDescent="0.2">
      <c r="E4" s="654"/>
      <c r="F4" s="654"/>
      <c r="G4" s="654"/>
    </row>
    <row r="5" spans="1:11" s="655" customFormat="1" ht="15" customHeight="1" x14ac:dyDescent="0.2">
      <c r="B5" s="1080" t="s">
        <v>15</v>
      </c>
      <c r="C5" s="1076"/>
      <c r="D5" s="1081"/>
      <c r="E5" s="1080" t="s">
        <v>1</v>
      </c>
      <c r="F5" s="1076"/>
      <c r="G5" s="1065"/>
    </row>
    <row r="6" spans="1:11" s="655" customFormat="1" ht="24" customHeight="1" x14ac:dyDescent="0.2">
      <c r="A6" s="656" t="s">
        <v>272</v>
      </c>
      <c r="B6" s="657"/>
      <c r="C6" s="658"/>
      <c r="D6" s="659"/>
      <c r="E6" s="657"/>
      <c r="F6" s="658"/>
      <c r="G6" s="660"/>
    </row>
    <row r="7" spans="1:11" s="655" customFormat="1" ht="12.95" customHeight="1" x14ac:dyDescent="0.2">
      <c r="A7" s="773" t="s">
        <v>273</v>
      </c>
      <c r="B7" s="774">
        <f>INDEX('19'!$B$6:$M$8,1,MOD(T!$A$4+3,12)*2-1)</f>
        <v>43088.703748374282</v>
      </c>
      <c r="C7" s="775">
        <f>INDEX('19'!$B$6:$M$8,2,MOD(T!$A$4+3,12)*2-1)</f>
        <v>953287.27551154641</v>
      </c>
      <c r="D7" s="776">
        <f>INDEX('19'!$B$6:$M$8,3,MOD(T!$A$4+3,12)*2-1)</f>
        <v>700567.12436365173</v>
      </c>
      <c r="E7" s="774">
        <f>INDEX('19'!$B$6:$M$8,1,MOD(T!$A$4+3,12)*2)</f>
        <v>458168.54449820874</v>
      </c>
      <c r="F7" s="775">
        <f>INDEX('19'!$B$6:$M$8,2,MOD(T!$A$4+3,12)*2)</f>
        <v>10136444.253704594</v>
      </c>
      <c r="G7" s="777">
        <f>INDEX('19'!$B$6:$M$8,3,MOD(T!$A$4+3,12)*2)</f>
        <v>7449233.5988431834</v>
      </c>
    </row>
    <row r="8" spans="1:11" s="655" customFormat="1" ht="3.95" customHeight="1" x14ac:dyDescent="0.2">
      <c r="A8" s="661"/>
      <c r="B8" s="662"/>
      <c r="C8" s="663"/>
      <c r="D8" s="664"/>
      <c r="E8" s="662"/>
      <c r="F8" s="663"/>
      <c r="G8" s="665"/>
    </row>
    <row r="9" spans="1:11" s="655" customFormat="1" ht="20.100000000000001" customHeight="1" x14ac:dyDescent="0.2">
      <c r="A9" s="661"/>
      <c r="B9" s="62"/>
      <c r="C9" s="62"/>
      <c r="D9" s="62"/>
      <c r="E9" s="62"/>
      <c r="F9" s="62"/>
      <c r="G9" s="62"/>
    </row>
    <row r="10" spans="1:11" s="655" customFormat="1" ht="15" customHeight="1" x14ac:dyDescent="0.2">
      <c r="A10" s="661"/>
      <c r="B10" s="1080" t="s">
        <v>15</v>
      </c>
      <c r="C10" s="1076"/>
      <c r="D10" s="1081"/>
      <c r="E10" s="1080" t="s">
        <v>1</v>
      </c>
      <c r="F10" s="1076"/>
      <c r="G10" s="1065"/>
    </row>
    <row r="11" spans="1:11" s="655" customFormat="1" ht="23.25" customHeight="1" x14ac:dyDescent="0.2">
      <c r="A11" s="511" t="s">
        <v>274</v>
      </c>
      <c r="B11" s="666" t="s">
        <v>123</v>
      </c>
      <c r="C11" s="1082" t="s">
        <v>122</v>
      </c>
      <c r="D11" s="1083"/>
      <c r="E11" s="666" t="s">
        <v>123</v>
      </c>
      <c r="F11" s="1082" t="s">
        <v>122</v>
      </c>
      <c r="G11" s="1084"/>
    </row>
    <row r="12" spans="1:11" s="655" customFormat="1" ht="12.95" customHeight="1" x14ac:dyDescent="0.2">
      <c r="A12" s="667" t="s">
        <v>275</v>
      </c>
      <c r="B12" s="668">
        <f>INDEX('19'!$B$11:$M$12,2,MOD(T!$A$4+3,12)*2-1)</f>
        <v>21449.806212103122</v>
      </c>
      <c r="C12" s="1085">
        <f>INDEX('19'!$B$11:$M$12,1,MOD(T!$A$4+3,12)*2-1)</f>
        <v>643494.18636309355</v>
      </c>
      <c r="D12" s="1086"/>
      <c r="E12" s="668">
        <f>INDEX('19'!$B$11:$M$12,2,MOD(T!$A$4+3,12)*2)</f>
        <v>228078.95427438369</v>
      </c>
      <c r="F12" s="1085">
        <f>INDEX('19'!$B$11:$M$12,1,MOD(T!$A$4+3,12)*2)</f>
        <v>6842368.6282315105</v>
      </c>
      <c r="G12" s="1087"/>
    </row>
    <row r="13" spans="1:11" s="655" customFormat="1" ht="12.95" customHeight="1" thickBot="1" x14ac:dyDescent="0.25">
      <c r="A13" s="669" t="s">
        <v>276</v>
      </c>
      <c r="B13" s="670">
        <f>B14-B12</f>
        <v>10867.146625801244</v>
      </c>
      <c r="C13" s="1088">
        <f>C14-C12</f>
        <v>326014.39877403737</v>
      </c>
      <c r="D13" s="1089"/>
      <c r="E13" s="670">
        <f>E14-E12</f>
        <v>115551.84733731122</v>
      </c>
      <c r="F13" s="1088">
        <f>F14-F12</f>
        <v>3466555.4201193377</v>
      </c>
      <c r="G13" s="1090"/>
      <c r="K13" s="671"/>
    </row>
    <row r="14" spans="1:11" s="655" customFormat="1" ht="12.95" customHeight="1" thickTop="1" x14ac:dyDescent="0.2">
      <c r="A14" s="672" t="s">
        <v>277</v>
      </c>
      <c r="B14" s="673">
        <f>C14/30</f>
        <v>32316.952837904366</v>
      </c>
      <c r="C14" s="1093">
        <f>'5'!E15</f>
        <v>969508.58513713093</v>
      </c>
      <c r="D14" s="1094"/>
      <c r="E14" s="673">
        <f>F14/30</f>
        <v>343630.80161169491</v>
      </c>
      <c r="F14" s="1093">
        <f>'5'!F15</f>
        <v>10308924.048350848</v>
      </c>
      <c r="G14" s="1095"/>
      <c r="K14" s="671"/>
    </row>
    <row r="15" spans="1:11" s="655" customFormat="1" ht="3.95" customHeight="1" x14ac:dyDescent="0.2">
      <c r="A15" s="661"/>
      <c r="B15" s="662"/>
      <c r="C15" s="1096"/>
      <c r="D15" s="1097"/>
      <c r="E15" s="662"/>
      <c r="F15" s="674"/>
      <c r="G15" s="675"/>
      <c r="K15" s="671"/>
    </row>
    <row r="16" spans="1:11" s="655" customFormat="1" ht="20.100000000000001" customHeight="1" x14ac:dyDescent="0.2">
      <c r="A16" s="661"/>
      <c r="B16" s="62"/>
      <c r="C16" s="62"/>
      <c r="D16" s="62"/>
      <c r="E16" s="62"/>
      <c r="F16" s="62"/>
      <c r="G16" s="62"/>
      <c r="K16" s="671"/>
    </row>
    <row r="17" spans="1:11" s="655" customFormat="1" ht="15" customHeight="1" x14ac:dyDescent="0.2">
      <c r="A17" s="661"/>
      <c r="B17" s="1080" t="s">
        <v>15</v>
      </c>
      <c r="C17" s="1076"/>
      <c r="D17" s="1081"/>
      <c r="E17" s="1080" t="s">
        <v>1</v>
      </c>
      <c r="F17" s="1076"/>
      <c r="G17" s="1065"/>
      <c r="K17" s="671"/>
    </row>
    <row r="18" spans="1:11" s="655" customFormat="1" ht="24" customHeight="1" thickBot="1" x14ac:dyDescent="0.25">
      <c r="A18" s="676" t="s">
        <v>85</v>
      </c>
      <c r="B18" s="677" t="s">
        <v>278</v>
      </c>
      <c r="C18" s="678" t="s">
        <v>279</v>
      </c>
      <c r="D18" s="679" t="s">
        <v>280</v>
      </c>
      <c r="E18" s="677" t="s">
        <v>278</v>
      </c>
      <c r="F18" s="678" t="s">
        <v>279</v>
      </c>
      <c r="G18" s="678" t="s">
        <v>280</v>
      </c>
    </row>
    <row r="19" spans="1:11" ht="12.95" customHeight="1" x14ac:dyDescent="0.2">
      <c r="A19" s="661" t="s">
        <v>281</v>
      </c>
      <c r="B19" s="680">
        <f>'10'!C40</f>
        <v>42621.557004484406</v>
      </c>
      <c r="C19" s="681">
        <f>INDEX('16'!$D$12:$O$14,1,T!$A$4)*1000</f>
        <v>989866.8916473086</v>
      </c>
      <c r="D19" s="682">
        <f>INDEX('16'!$D$17:$O$19,1,T!$A$4)*1000</f>
        <v>1022862.1044614633</v>
      </c>
      <c r="E19" s="680">
        <f>'10'!D40</f>
        <v>453141.77378571429</v>
      </c>
      <c r="F19" s="681">
        <f>INDEX('16'!$D$12:$O$14,2,T!$A$4)*1000</f>
        <v>10525401.338</v>
      </c>
      <c r="G19" s="674">
        <f>INDEX('16'!$D$17:$O$19,2,T!$A$4)*1000</f>
        <v>10876244.325104814</v>
      </c>
    </row>
    <row r="20" spans="1:11" ht="12.95" customHeight="1" x14ac:dyDescent="0.2">
      <c r="A20" s="667" t="s">
        <v>282</v>
      </c>
      <c r="B20" s="683">
        <f>'10'!E40</f>
        <v>-3.4</v>
      </c>
      <c r="C20" s="684">
        <f>INDEX('16'!$D$12:$O$14,3,T!$A$4)</f>
        <v>0.22142857142857128</v>
      </c>
      <c r="D20" s="685">
        <f>INDEX('16'!$D$17:$O$19,3,T!$A$4)</f>
        <v>-0.7</v>
      </c>
      <c r="E20" s="683">
        <f>'10'!E40</f>
        <v>-3.4</v>
      </c>
      <c r="F20" s="684">
        <f>INDEX('16'!$D$12:$O$14,3,T!$A$4)</f>
        <v>0.22142857142857128</v>
      </c>
      <c r="G20" s="686">
        <f>INDEX('16'!$D$17:$O$19,3,T!$A$4)</f>
        <v>-0.7</v>
      </c>
    </row>
    <row r="21" spans="1:11" ht="3.95" customHeight="1" x14ac:dyDescent="0.2">
      <c r="A21" s="661"/>
      <c r="B21" s="687"/>
      <c r="C21" s="688"/>
      <c r="D21" s="689"/>
      <c r="E21" s="687"/>
      <c r="F21" s="688"/>
      <c r="G21" s="690"/>
    </row>
    <row r="22" spans="1:11" ht="20.100000000000001" customHeight="1" x14ac:dyDescent="0.2">
      <c r="A22" s="661"/>
      <c r="B22" s="691"/>
      <c r="C22" s="691"/>
      <c r="D22" s="691"/>
      <c r="E22" s="691"/>
      <c r="F22" s="691"/>
      <c r="G22" s="691"/>
    </row>
    <row r="23" spans="1:11" ht="15" customHeight="1" x14ac:dyDescent="0.2">
      <c r="A23" s="661"/>
      <c r="B23" s="1080" t="s">
        <v>15</v>
      </c>
      <c r="C23" s="1076"/>
      <c r="D23" s="1081"/>
      <c r="E23" s="1080" t="s">
        <v>1</v>
      </c>
      <c r="F23" s="1076"/>
      <c r="G23" s="1065"/>
    </row>
    <row r="24" spans="1:11" ht="24" customHeight="1" thickBot="1" x14ac:dyDescent="0.25">
      <c r="A24" s="676" t="s">
        <v>283</v>
      </c>
      <c r="B24" s="677" t="s">
        <v>278</v>
      </c>
      <c r="C24" s="678" t="s">
        <v>279</v>
      </c>
      <c r="D24" s="679" t="s">
        <v>280</v>
      </c>
      <c r="E24" s="677" t="s">
        <v>278</v>
      </c>
      <c r="F24" s="678" t="s">
        <v>279</v>
      </c>
      <c r="G24" s="678" t="s">
        <v>280</v>
      </c>
    </row>
    <row r="25" spans="1:11" ht="12.95" customHeight="1" x14ac:dyDescent="0.2">
      <c r="A25" s="692" t="s">
        <v>284</v>
      </c>
      <c r="B25" s="693">
        <f>INDEX('[14]Historie (BSD)'!C8:H35,MOD(T!$A$4+3,12)*5-4,1)</f>
        <v>61632</v>
      </c>
      <c r="C25" s="694">
        <f>INDEX('[14]Historie (BSD)'!D8:I35,MOD(T!$A$4+3,12)*5-4,1)</f>
        <v>1406898</v>
      </c>
      <c r="D25" s="695">
        <f>INDEX('[14]Historie (BSD)'!E8:J35,MOD(T!$A$4+3,12)*5-4,1)</f>
        <v>1299197</v>
      </c>
      <c r="E25" s="693">
        <f>INDEX('[14]Historie (BSD)'!F8:K35,MOD(T!$A$4+3,12)*5-4,1)</f>
        <v>651503</v>
      </c>
      <c r="F25" s="694">
        <f>INDEX('[14]Historie (BSD)'!G8:L35,MOD(T!$A$4+3,12)*5-4,1)</f>
        <v>14821196.666084835</v>
      </c>
      <c r="G25" s="696">
        <f>INDEX('[14]Historie (BSD)'!H8:M35,MOD(T!$A$4+3,12)*5-4,1)</f>
        <v>13686615.046255894</v>
      </c>
    </row>
    <row r="26" spans="1:11" ht="12.95" customHeight="1" x14ac:dyDescent="0.2">
      <c r="A26" s="661" t="s">
        <v>282</v>
      </c>
      <c r="B26" s="687">
        <f>INDEX('[14]Historie (BSD)'!C9:H36,MOD(T!$A$4+3,12)*5-4,1)</f>
        <v>-14.1</v>
      </c>
      <c r="C26" s="688">
        <f>INDEX('[14]Historie (BSD)'!D9:I36,MOD(T!$A$4+3,12)*5-4,1)</f>
        <v>-4.0999999999999996</v>
      </c>
      <c r="D26" s="689">
        <f>INDEX('[14]Historie (BSD)'!E9:J36,MOD(T!$A$4+3,12)*5-4,1)</f>
        <v>-0.5</v>
      </c>
      <c r="E26" s="687">
        <f>INDEX('[14]Historie (BSD)'!F9:K36,MOD(T!$A$4+3,12)*5-4,1)</f>
        <v>-14.1</v>
      </c>
      <c r="F26" s="688">
        <f>INDEX('[14]Historie (BSD)'!G9:L36,MOD(T!$A$4+3,12)*5-4,1)</f>
        <v>-4.0999999999999996</v>
      </c>
      <c r="G26" s="690">
        <f>INDEX('[14]Historie (BSD)'!H9:M36,MOD(T!$A$4+3,12)*5-4,1)</f>
        <v>-0.5</v>
      </c>
    </row>
    <row r="27" spans="1:11" ht="12.95" customHeight="1" x14ac:dyDescent="0.2">
      <c r="A27" s="667" t="s">
        <v>285</v>
      </c>
      <c r="B27" s="697">
        <f>INDEX('[14]Historie (BSD)'!C10:H37,MOD(T!$A$4+3,12)*5-4,1)</f>
        <v>40945</v>
      </c>
      <c r="C27" s="698" t="str">
        <f>INDEX('[14]Historie (BSD)'!D10:I37,MOD(T!$A$4+3,12)*5-4,1)</f>
        <v>2003</v>
      </c>
      <c r="D27" s="698" t="str">
        <f>INDEX('[14]Historie (BSD)'!E10:J37,MOD(T!$A$4+3,12)*5-4,1)</f>
        <v>2003</v>
      </c>
      <c r="E27" s="697">
        <f>INDEX('[14]Historie (BSD)'!F10:K37,MOD(T!$A$4+3,12)*5-4,1)</f>
        <v>40945</v>
      </c>
      <c r="F27" s="698" t="str">
        <f>INDEX('[14]Historie (BSD)'!G10:L37,MOD(T!$A$4+3,12)*5-4,1)</f>
        <v>2003</v>
      </c>
      <c r="G27" s="699" t="str">
        <f>INDEX('[14]Historie (BSD)'!H10:M37,MOD(T!$A$4+3,12)*5-4,1)</f>
        <v>2003</v>
      </c>
    </row>
    <row r="28" spans="1:11" ht="3.95" customHeight="1" x14ac:dyDescent="0.2">
      <c r="A28" s="661"/>
      <c r="B28" s="662"/>
      <c r="C28" s="663"/>
      <c r="D28" s="664"/>
      <c r="E28" s="662"/>
      <c r="F28" s="663"/>
      <c r="G28" s="665"/>
    </row>
    <row r="29" spans="1:11" ht="15" customHeight="1" x14ac:dyDescent="0.2">
      <c r="A29" s="1091"/>
      <c r="B29" s="1091"/>
      <c r="C29" s="700"/>
      <c r="D29" s="700"/>
      <c r="E29" s="700"/>
      <c r="F29" s="700"/>
      <c r="G29" s="700"/>
    </row>
    <row r="30" spans="1:11" ht="15" customHeight="1" x14ac:dyDescent="0.2">
      <c r="A30" s="700"/>
      <c r="B30" s="700"/>
      <c r="C30" s="700"/>
      <c r="D30" s="700"/>
      <c r="E30" s="700"/>
      <c r="F30" s="700"/>
      <c r="G30" s="700"/>
    </row>
    <row r="31" spans="1:11" ht="15" customHeight="1" x14ac:dyDescent="0.2">
      <c r="A31" s="700"/>
      <c r="B31" s="700"/>
      <c r="C31" s="700"/>
      <c r="D31" s="700"/>
      <c r="E31" s="700"/>
      <c r="F31" s="700"/>
      <c r="G31" s="700"/>
    </row>
    <row r="32" spans="1:11" ht="15" customHeight="1" x14ac:dyDescent="0.2">
      <c r="A32" s="700"/>
      <c r="B32" s="661" t="s">
        <v>139</v>
      </c>
      <c r="C32" s="661" t="s">
        <v>141</v>
      </c>
      <c r="D32" s="700"/>
      <c r="E32" s="661"/>
      <c r="F32" s="62"/>
      <c r="G32" s="700"/>
    </row>
    <row r="33" spans="1:7" ht="15" customHeight="1" x14ac:dyDescent="0.2">
      <c r="A33" s="661" t="s">
        <v>286</v>
      </c>
      <c r="B33" s="701">
        <f>F7/F14</f>
        <v>0.98326888491589515</v>
      </c>
      <c r="C33" s="702">
        <f>$D$33-B33</f>
        <v>1.6731115084104853E-2</v>
      </c>
      <c r="D33" s="703">
        <v>1</v>
      </c>
      <c r="E33" s="661"/>
      <c r="F33" s="62"/>
      <c r="G33" s="700"/>
    </row>
    <row r="34" spans="1:7" ht="18" customHeight="1" x14ac:dyDescent="0.2">
      <c r="A34" s="661" t="s">
        <v>287</v>
      </c>
      <c r="B34" s="701">
        <f>G7/F14</f>
        <v>0.72260049292291184</v>
      </c>
      <c r="C34" s="702">
        <f>$D$33-B34</f>
        <v>0.27739950707708816</v>
      </c>
      <c r="D34" s="704"/>
      <c r="E34" s="700"/>
      <c r="F34" s="700"/>
      <c r="G34" s="700"/>
    </row>
    <row r="35" spans="1:7" ht="18" customHeight="1" x14ac:dyDescent="0.2">
      <c r="A35" s="661" t="s">
        <v>288</v>
      </c>
      <c r="B35" s="701">
        <f>F12/F14</f>
        <v>0.66373256764134436</v>
      </c>
      <c r="C35" s="702">
        <f>$D$33-B35</f>
        <v>0.33626743235865564</v>
      </c>
      <c r="D35" s="704"/>
      <c r="E35" s="700"/>
      <c r="F35" s="700"/>
      <c r="G35" s="700"/>
    </row>
    <row r="36" spans="1:7" ht="9.9499999999999993" customHeight="1" x14ac:dyDescent="0.2">
      <c r="A36" s="700"/>
      <c r="B36" s="700"/>
      <c r="C36" s="700"/>
      <c r="D36" s="700"/>
      <c r="E36" s="700"/>
      <c r="F36" s="700"/>
      <c r="G36" s="700"/>
    </row>
    <row r="37" spans="1:7" ht="20.100000000000001" customHeight="1" x14ac:dyDescent="0.2">
      <c r="A37" s="700"/>
      <c r="B37" s="700"/>
      <c r="C37" s="700"/>
      <c r="D37" s="700"/>
      <c r="E37" s="700"/>
      <c r="F37" s="700"/>
      <c r="G37" s="700"/>
    </row>
    <row r="38" spans="1:7" ht="18" customHeight="1" x14ac:dyDescent="0.2">
      <c r="A38" s="700"/>
      <c r="B38" s="700"/>
      <c r="C38" s="700"/>
      <c r="D38" s="700"/>
      <c r="E38" s="700"/>
      <c r="F38" s="700"/>
      <c r="G38" s="700"/>
    </row>
    <row r="39" spans="1:7" ht="18" customHeight="1" x14ac:dyDescent="0.2">
      <c r="A39" s="700"/>
      <c r="B39" s="700"/>
      <c r="C39" s="700"/>
      <c r="D39" s="700"/>
      <c r="E39" s="700"/>
      <c r="F39" s="700"/>
      <c r="G39" s="700"/>
    </row>
    <row r="40" spans="1:7" ht="12.75" customHeight="1" x14ac:dyDescent="0.2">
      <c r="E40" s="700"/>
      <c r="F40" s="700"/>
      <c r="G40" s="700"/>
    </row>
    <row r="41" spans="1:7" ht="12.75" customHeight="1" x14ac:dyDescent="0.2">
      <c r="E41" s="700"/>
      <c r="F41" s="700"/>
      <c r="G41" s="700"/>
    </row>
    <row r="42" spans="1:7" ht="12.75" customHeight="1" x14ac:dyDescent="0.2">
      <c r="E42" s="700"/>
      <c r="F42" s="700"/>
      <c r="G42" s="700"/>
    </row>
    <row r="43" spans="1:7" ht="12.75" customHeight="1" x14ac:dyDescent="0.2">
      <c r="E43" s="700"/>
      <c r="F43" s="700"/>
      <c r="G43" s="700"/>
    </row>
    <row r="44" spans="1:7" ht="12.75" customHeight="1" x14ac:dyDescent="0.2">
      <c r="A44" s="661"/>
      <c r="B44" s="701"/>
      <c r="C44" s="702"/>
      <c r="D44" s="704"/>
      <c r="E44" s="700"/>
      <c r="F44" s="700"/>
      <c r="G44" s="700"/>
    </row>
    <row r="45" spans="1:7" ht="12.75" customHeight="1" x14ac:dyDescent="0.2">
      <c r="A45" s="661"/>
      <c r="B45" s="62"/>
      <c r="C45" s="705"/>
      <c r="D45" s="704"/>
      <c r="E45" s="700"/>
      <c r="F45" s="700"/>
      <c r="G45" s="700"/>
    </row>
    <row r="46" spans="1:7" ht="12.75" customHeight="1" x14ac:dyDescent="0.2">
      <c r="A46" s="661"/>
      <c r="B46" s="62"/>
      <c r="C46" s="700"/>
      <c r="D46" s="700"/>
      <c r="E46" s="700"/>
      <c r="F46" s="700"/>
      <c r="G46" s="700"/>
    </row>
    <row r="47" spans="1:7" ht="12.75" customHeight="1" x14ac:dyDescent="0.2">
      <c r="A47" s="661"/>
      <c r="B47" s="62"/>
      <c r="C47" s="700"/>
      <c r="D47" s="700"/>
      <c r="E47" s="700"/>
      <c r="F47" s="700"/>
      <c r="G47" s="700"/>
    </row>
    <row r="48" spans="1:7" ht="12.75" customHeight="1" x14ac:dyDescent="0.2">
      <c r="A48" s="700"/>
      <c r="B48" s="700"/>
      <c r="C48" s="700"/>
      <c r="D48" s="700"/>
      <c r="E48" s="700"/>
      <c r="F48" s="700"/>
      <c r="G48" s="700"/>
    </row>
    <row r="49" spans="1:8" ht="12.75" customHeight="1" x14ac:dyDescent="0.2">
      <c r="A49" s="700"/>
      <c r="B49" s="700"/>
      <c r="C49" s="700"/>
      <c r="D49" s="700"/>
      <c r="E49" s="700"/>
      <c r="F49" s="700"/>
      <c r="G49" s="700"/>
    </row>
    <row r="50" spans="1:8" ht="12.75" customHeight="1" x14ac:dyDescent="0.2">
      <c r="A50" s="700"/>
      <c r="B50" s="700"/>
      <c r="C50" s="700"/>
      <c r="D50" s="700"/>
      <c r="E50" s="700"/>
      <c r="F50" s="700"/>
      <c r="G50" s="700"/>
    </row>
    <row r="51" spans="1:8" ht="16.5" customHeight="1" x14ac:dyDescent="0.2">
      <c r="A51" s="1092"/>
      <c r="B51" s="1092"/>
      <c r="C51" s="1092"/>
      <c r="D51" s="1092"/>
      <c r="E51" s="1092"/>
      <c r="F51" s="1092"/>
      <c r="G51" s="1092"/>
    </row>
    <row r="52" spans="1:8" ht="12.75" customHeight="1" x14ac:dyDescent="0.2">
      <c r="A52" s="1092" t="s">
        <v>289</v>
      </c>
      <c r="B52" s="1092"/>
      <c r="C52" s="1092"/>
      <c r="D52" s="1092"/>
      <c r="E52" s="1092"/>
      <c r="F52" s="1092"/>
      <c r="G52" s="1092"/>
      <c r="H52" s="706"/>
    </row>
    <row r="53" spans="1:8" ht="12.75" customHeight="1" x14ac:dyDescent="0.2">
      <c r="A53" s="700"/>
      <c r="B53" s="700"/>
      <c r="C53" s="700"/>
      <c r="D53" s="700"/>
      <c r="E53" s="700"/>
      <c r="F53" s="700"/>
      <c r="G53" s="700"/>
    </row>
  </sheetData>
  <mergeCells count="22">
    <mergeCell ref="A29:B29"/>
    <mergeCell ref="A51:G51"/>
    <mergeCell ref="A52:G52"/>
    <mergeCell ref="C14:D14"/>
    <mergeCell ref="F14:G14"/>
    <mergeCell ref="C15:D15"/>
    <mergeCell ref="B17:D17"/>
    <mergeCell ref="E17:G17"/>
    <mergeCell ref="B23:D23"/>
    <mergeCell ref="E23:G23"/>
    <mergeCell ref="C11:D11"/>
    <mergeCell ref="F11:G11"/>
    <mergeCell ref="C12:D12"/>
    <mergeCell ref="F12:G12"/>
    <mergeCell ref="C13:D13"/>
    <mergeCell ref="F13:G13"/>
    <mergeCell ref="F1:G1"/>
    <mergeCell ref="A2:G2"/>
    <mergeCell ref="B5:D5"/>
    <mergeCell ref="E5:G5"/>
    <mergeCell ref="B10:D10"/>
    <mergeCell ref="E10:G10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5"/>
  <sheetViews>
    <sheetView view="pageBreakPreview" zoomScaleNormal="100" zoomScaleSheetLayoutView="100" workbookViewId="0">
      <selection activeCell="L17" sqref="L17"/>
    </sheetView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32"/>
      <c r="C1" s="937" t="s">
        <v>49</v>
      </c>
    </row>
    <row r="2" spans="1:3" x14ac:dyDescent="0.2">
      <c r="A2" s="203"/>
      <c r="B2" s="232"/>
      <c r="C2" s="938"/>
    </row>
    <row r="3" spans="1:3" x14ac:dyDescent="0.2">
      <c r="A3" s="203"/>
      <c r="B3" s="232"/>
      <c r="C3" s="938"/>
    </row>
    <row r="4" spans="1:3" x14ac:dyDescent="0.2">
      <c r="A4" s="183"/>
      <c r="B4" s="232"/>
      <c r="C4" s="938"/>
    </row>
    <row r="5" spans="1:3" ht="30" customHeight="1" x14ac:dyDescent="0.2">
      <c r="A5" s="638" t="s">
        <v>98</v>
      </c>
      <c r="B5" s="631" t="s">
        <v>50</v>
      </c>
      <c r="C5" s="639" t="s">
        <v>204</v>
      </c>
    </row>
    <row r="6" spans="1:3" ht="30" customHeight="1" x14ac:dyDescent="0.2">
      <c r="A6" s="642" t="s">
        <v>219</v>
      </c>
      <c r="B6" s="228" t="s">
        <v>50</v>
      </c>
      <c r="C6" s="643" t="s">
        <v>205</v>
      </c>
    </row>
    <row r="7" spans="1:3" ht="30" customHeight="1" x14ac:dyDescent="0.2">
      <c r="A7" s="642" t="s">
        <v>187</v>
      </c>
      <c r="B7" s="228" t="s">
        <v>50</v>
      </c>
      <c r="C7" s="643" t="s">
        <v>206</v>
      </c>
    </row>
    <row r="8" spans="1:3" ht="30" customHeight="1" x14ac:dyDescent="0.2">
      <c r="A8" s="642" t="s">
        <v>191</v>
      </c>
      <c r="B8" s="228" t="s">
        <v>50</v>
      </c>
      <c r="C8" s="643" t="s">
        <v>207</v>
      </c>
    </row>
    <row r="9" spans="1:3" ht="30" customHeight="1" x14ac:dyDescent="0.2">
      <c r="A9" s="642" t="s">
        <v>392</v>
      </c>
      <c r="B9" s="228" t="s">
        <v>50</v>
      </c>
      <c r="C9" s="643" t="s">
        <v>208</v>
      </c>
    </row>
    <row r="10" spans="1:3" ht="30" customHeight="1" x14ac:dyDescent="0.2">
      <c r="A10" s="642" t="s">
        <v>192</v>
      </c>
      <c r="B10" s="228" t="s">
        <v>50</v>
      </c>
      <c r="C10" s="643" t="s">
        <v>209</v>
      </c>
    </row>
    <row r="11" spans="1:3" ht="30" customHeight="1" x14ac:dyDescent="0.2">
      <c r="A11" s="642" t="s">
        <v>393</v>
      </c>
      <c r="B11" s="228" t="s">
        <v>50</v>
      </c>
      <c r="C11" s="643" t="s">
        <v>210</v>
      </c>
    </row>
    <row r="12" spans="1:3" ht="30" customHeight="1" x14ac:dyDescent="0.2">
      <c r="A12" s="642" t="s">
        <v>193</v>
      </c>
      <c r="B12" s="228" t="s">
        <v>50</v>
      </c>
      <c r="C12" s="643" t="s">
        <v>211</v>
      </c>
    </row>
    <row r="13" spans="1:3" ht="30" customHeight="1" x14ac:dyDescent="0.2">
      <c r="A13" s="642" t="s">
        <v>194</v>
      </c>
      <c r="B13" s="228" t="s">
        <v>50</v>
      </c>
      <c r="C13" s="643" t="s">
        <v>212</v>
      </c>
    </row>
    <row r="14" spans="1:3" ht="30" customHeight="1" x14ac:dyDescent="0.2">
      <c r="A14" s="642" t="s">
        <v>195</v>
      </c>
      <c r="B14" s="228" t="s">
        <v>50</v>
      </c>
      <c r="C14" s="643" t="s">
        <v>213</v>
      </c>
    </row>
    <row r="15" spans="1:3" ht="30" customHeight="1" x14ac:dyDescent="0.2">
      <c r="A15" s="642" t="s">
        <v>196</v>
      </c>
      <c r="B15" s="228" t="s">
        <v>50</v>
      </c>
      <c r="C15" s="643" t="s">
        <v>214</v>
      </c>
    </row>
    <row r="16" spans="1:3" ht="30" customHeight="1" x14ac:dyDescent="0.2">
      <c r="A16" s="642" t="s">
        <v>82</v>
      </c>
      <c r="B16" s="228" t="s">
        <v>50</v>
      </c>
      <c r="C16" s="643" t="s">
        <v>215</v>
      </c>
    </row>
    <row r="17" spans="1:3" ht="30" customHeight="1" x14ac:dyDescent="0.2">
      <c r="A17" s="642" t="s">
        <v>359</v>
      </c>
      <c r="B17" s="228" t="s">
        <v>50</v>
      </c>
      <c r="C17" s="643" t="s">
        <v>216</v>
      </c>
    </row>
    <row r="18" spans="1:3" ht="30" customHeight="1" x14ac:dyDescent="0.2">
      <c r="A18" s="642" t="s">
        <v>360</v>
      </c>
      <c r="B18" s="228" t="s">
        <v>50</v>
      </c>
      <c r="C18" s="643" t="s">
        <v>217</v>
      </c>
    </row>
    <row r="19" spans="1:3" ht="30" customHeight="1" x14ac:dyDescent="0.2">
      <c r="A19" s="642" t="s">
        <v>395</v>
      </c>
      <c r="B19" s="228" t="s">
        <v>50</v>
      </c>
      <c r="C19" s="643" t="s">
        <v>218</v>
      </c>
    </row>
    <row r="20" spans="1:3" ht="30" customHeight="1" x14ac:dyDescent="0.2">
      <c r="A20" s="642" t="s">
        <v>396</v>
      </c>
      <c r="B20" s="228" t="s">
        <v>50</v>
      </c>
      <c r="C20" s="643" t="s">
        <v>361</v>
      </c>
    </row>
    <row r="21" spans="1:3" ht="30" customHeight="1" x14ac:dyDescent="0.2">
      <c r="A21" s="642" t="s">
        <v>290</v>
      </c>
      <c r="B21" s="228" t="s">
        <v>50</v>
      </c>
      <c r="C21" s="643" t="s">
        <v>362</v>
      </c>
    </row>
    <row r="22" spans="1:3" ht="30" customHeight="1" x14ac:dyDescent="0.2">
      <c r="A22" s="642" t="s">
        <v>387</v>
      </c>
      <c r="B22" s="923" t="s">
        <v>50</v>
      </c>
      <c r="C22" s="643" t="s">
        <v>388</v>
      </c>
    </row>
    <row r="23" spans="1:3" ht="30" customHeight="1" x14ac:dyDescent="0.2">
      <c r="A23" s="640" t="s">
        <v>383</v>
      </c>
      <c r="B23" s="872" t="s">
        <v>50</v>
      </c>
      <c r="C23" s="641" t="s">
        <v>410</v>
      </c>
    </row>
    <row r="24" spans="1:3" ht="23.1" customHeight="1" x14ac:dyDescent="0.2">
      <c r="A24" s="88"/>
      <c r="B24" s="233"/>
      <c r="C24" s="235"/>
    </row>
    <row r="25" spans="1:3" ht="23.1" customHeight="1" x14ac:dyDescent="0.2">
      <c r="A25" s="88"/>
      <c r="B25" s="233"/>
      <c r="C25" s="235"/>
    </row>
    <row r="26" spans="1:3" ht="23.1" customHeight="1" x14ac:dyDescent="0.2">
      <c r="A26" s="201"/>
      <c r="B26" s="233"/>
      <c r="C26" s="235"/>
    </row>
    <row r="27" spans="1:3" ht="23.1" customHeight="1" x14ac:dyDescent="0.2">
      <c r="A27" s="86"/>
      <c r="B27" s="234"/>
      <c r="C27" s="235"/>
    </row>
    <row r="28" spans="1:3" ht="23.1" customHeight="1" x14ac:dyDescent="0.2">
      <c r="A28" s="88"/>
      <c r="B28" s="233"/>
      <c r="C28" s="235"/>
    </row>
    <row r="29" spans="1:3" ht="23.1" customHeight="1" x14ac:dyDescent="0.2">
      <c r="A29" s="88"/>
      <c r="B29" s="233"/>
      <c r="C29" s="235"/>
    </row>
    <row r="30" spans="1:3" ht="23.1" customHeight="1" x14ac:dyDescent="0.2">
      <c r="A30" s="88"/>
      <c r="B30" s="233"/>
      <c r="C30" s="235"/>
    </row>
    <row r="31" spans="1:3" ht="23.1" customHeight="1" x14ac:dyDescent="0.2">
      <c r="A31" s="940"/>
      <c r="B31" s="940"/>
    </row>
    <row r="32" spans="1:3" ht="23.1" customHeight="1" x14ac:dyDescent="0.2">
      <c r="A32" s="940"/>
      <c r="B32" s="940"/>
    </row>
    <row r="33" spans="1:2" ht="23.1" customHeight="1" x14ac:dyDescent="0.2">
      <c r="A33" s="940"/>
      <c r="B33" s="940"/>
    </row>
    <row r="34" spans="1:2" ht="23.1" customHeight="1" x14ac:dyDescent="0.2">
      <c r="A34" s="940"/>
      <c r="B34" s="940"/>
    </row>
    <row r="35" spans="1:2" ht="30" customHeight="1" x14ac:dyDescent="0.2">
      <c r="A35" s="939"/>
      <c r="B35" s="939"/>
    </row>
  </sheetData>
  <mergeCells count="6">
    <mergeCell ref="C1:C4"/>
    <mergeCell ref="A35:B35"/>
    <mergeCell ref="A34:B34"/>
    <mergeCell ref="A33:B33"/>
    <mergeCell ref="A32:B32"/>
    <mergeCell ref="A31:B31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U35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22.28515625" style="42" customWidth="1"/>
    <col min="2" max="13" width="8.7109375" style="42" customWidth="1"/>
    <col min="14" max="14" width="9.140625" style="42"/>
    <col min="15" max="15" width="16.42578125" style="42" bestFit="1" customWidth="1"/>
    <col min="16" max="16384" width="9.140625" style="42"/>
  </cols>
  <sheetData>
    <row r="1" spans="1:21" x14ac:dyDescent="0.2">
      <c r="L1" s="1002" t="s">
        <v>325</v>
      </c>
      <c r="M1" s="1002"/>
    </row>
    <row r="2" spans="1:21" ht="15.75" x14ac:dyDescent="0.25">
      <c r="A2" s="1098" t="s">
        <v>290</v>
      </c>
      <c r="B2" s="1098"/>
      <c r="C2" s="1098"/>
      <c r="D2" s="1098"/>
      <c r="E2" s="1098"/>
      <c r="F2" s="1098"/>
      <c r="G2" s="1098"/>
      <c r="H2" s="1098"/>
      <c r="I2" s="1098"/>
      <c r="J2" s="1098"/>
      <c r="K2" s="1098"/>
      <c r="L2" s="1098"/>
      <c r="M2" s="1098"/>
    </row>
    <row r="4" spans="1:21" s="94" customFormat="1" ht="15" customHeight="1" x14ac:dyDescent="0.2">
      <c r="A4" s="1099" t="s">
        <v>291</v>
      </c>
      <c r="B4" s="1101" t="s">
        <v>292</v>
      </c>
      <c r="C4" s="1102"/>
      <c r="D4" s="1103" t="s">
        <v>293</v>
      </c>
      <c r="E4" s="1102"/>
      <c r="F4" s="1103" t="s">
        <v>294</v>
      </c>
      <c r="G4" s="1102"/>
      <c r="H4" s="1103" t="s">
        <v>295</v>
      </c>
      <c r="I4" s="1102"/>
      <c r="J4" s="1103" t="s">
        <v>296</v>
      </c>
      <c r="K4" s="1102"/>
      <c r="L4" s="1103" t="s">
        <v>297</v>
      </c>
      <c r="M4" s="1104"/>
    </row>
    <row r="5" spans="1:21" s="94" customFormat="1" ht="12" customHeight="1" thickBot="1" x14ac:dyDescent="0.25">
      <c r="A5" s="1100"/>
      <c r="B5" s="707" t="s">
        <v>15</v>
      </c>
      <c r="C5" s="708" t="s">
        <v>1</v>
      </c>
      <c r="D5" s="708" t="s">
        <v>15</v>
      </c>
      <c r="E5" s="708" t="s">
        <v>1</v>
      </c>
      <c r="F5" s="708" t="s">
        <v>15</v>
      </c>
      <c r="G5" s="708" t="s">
        <v>1</v>
      </c>
      <c r="H5" s="708" t="s">
        <v>15</v>
      </c>
      <c r="I5" s="708" t="s">
        <v>1</v>
      </c>
      <c r="J5" s="708" t="s">
        <v>15</v>
      </c>
      <c r="K5" s="708" t="s">
        <v>1</v>
      </c>
      <c r="L5" s="708" t="s">
        <v>15</v>
      </c>
      <c r="M5" s="709" t="s">
        <v>1</v>
      </c>
    </row>
    <row r="6" spans="1:21" s="94" customFormat="1" ht="21.95" customHeight="1" x14ac:dyDescent="0.2">
      <c r="A6" s="710"/>
      <c r="B6" s="711">
        <f>IF(T!$A$4+3&gt;=MOD('[14]Podklady MZ'!B$31:C$31+3,12),C6/$I$30,"")</f>
        <v>18953.661999299318</v>
      </c>
      <c r="C6" s="832">
        <f>IF(T!$A$4+3&gt;=MOD('[14]Podklady MZ'!B$31:C$31+3,12),INDEX('[14]Podklady MZ'!$C34:$S34,1,MATCH(B$4,'[14]Podklady MZ'!$B$32:$S$32,0)),"")</f>
        <v>201537.08456494517</v>
      </c>
      <c r="D6" s="833">
        <f>IF(T!$A$4+3&gt;=MOD('[14]Podklady MZ'!D$31:E$31+3,12),E6/$I$30,"")</f>
        <v>33230.111279781304</v>
      </c>
      <c r="E6" s="832">
        <f>IF(T!$A$4+3&gt;=MOD('[14]Podklady MZ'!D$31:E$31+3,12),INDEX('[14]Podklady MZ'!$C34:$S34,1,MATCH(D$4,'[14]Podklady MZ'!$B$32:$S$32,0)),"")</f>
        <v>353340.67618929798</v>
      </c>
      <c r="F6" s="833">
        <f>IF(T!$A$4+3&gt;=MOD('[14]Podklady MZ'!F$31:G$31+3,12),G6/$I$30,"")</f>
        <v>42767.830537837959</v>
      </c>
      <c r="G6" s="832">
        <f>IF(T!$A$4+3&gt;=MOD('[14]Podklady MZ'!F$31:G$31+3,12),INDEX('[14]Podklady MZ'!$C34:$S34,1,MATCH(F$4,'[14]Podklady MZ'!$B$32:$S$32,0)),"")</f>
        <v>454756.65230719704</v>
      </c>
      <c r="H6" s="833">
        <f>IF(T!$A$4+3&gt;=MOD('[14]Podklady MZ'!H$31:I$31+3,12),I6/$I$30,"")</f>
        <v>46741.854095581577</v>
      </c>
      <c r="I6" s="832">
        <f>IF(T!$A$4+3&gt;=MOD('[14]Podklady MZ'!H$31:I$31+3,12),INDEX('[14]Podklady MZ'!$C34:$S34,1,MATCH(H$4,'[14]Podklady MZ'!$B$32:$S$32,0)),"")</f>
        <v>497013.03114573855</v>
      </c>
      <c r="J6" s="833">
        <f>IF(T!$A$4+3&gt;=MOD('[14]Podklady MZ'!J$31:K$31+3,12),K6/$I$30,"")</f>
        <v>43088.703748374282</v>
      </c>
      <c r="K6" s="832">
        <f>IF(T!$A$4+3&gt;=MOD('[14]Podklady MZ'!J$31:K$31+3,12),INDEX('[14]Podklady MZ'!$C34:$S34,1,MATCH(J$4,'[14]Podklady MZ'!$B$32:$S$32,0)),"")</f>
        <v>458168.54449820874</v>
      </c>
      <c r="L6" s="833" t="str">
        <f>IF(T!$A$4+3&gt;=MOD('[14]Podklady MZ'!L$31:M$31+3,12),M6/$I$30,"")</f>
        <v/>
      </c>
      <c r="M6" s="832" t="str">
        <f>IF(T!$A$4+3&gt;=MOD('[14]Podklady MZ'!L$31:M$31+3,12),INDEX('[14]Podklady MZ'!$C34:$S34,1,MATCH(L$4,'[14]Podklady MZ'!$B$32:$S$32,0)),"")</f>
        <v/>
      </c>
      <c r="N6" s="834"/>
      <c r="Q6" s="713"/>
      <c r="U6" s="713"/>
    </row>
    <row r="7" spans="1:21" s="94" customFormat="1" ht="21.95" customHeight="1" x14ac:dyDescent="0.2">
      <c r="A7" s="714"/>
      <c r="B7" s="711">
        <f>IF(T!$A$4+3&gt;=MOD('[14]Podklady MZ'!B$31:C$31+3,12),C7/$I$30,"")</f>
        <v>423229.63881839404</v>
      </c>
      <c r="C7" s="715">
        <f>IF(T!$A$4+3&gt;=MOD('[14]Podklady MZ'!B$31:C$31+3,12),INDEX('[14]Podklady MZ'!$C35:$S35,1,MATCH(B$4,'[14]Podklady MZ'!$B$32:$S$32,0)),"")</f>
        <v>4500263.1951591801</v>
      </c>
      <c r="D7" s="712">
        <f>IF(T!$A$4+3&gt;=MOD('[14]Podklady MZ'!D$31:E$31+3,12),E7/$I$30,"")</f>
        <v>742513.31030717818</v>
      </c>
      <c r="E7" s="715">
        <f>IF(T!$A$4+3&gt;=MOD('[14]Podklady MZ'!D$31:E$31+3,12),INDEX('[14]Podklady MZ'!$C35:$S35,1,MATCH(D$4,'[14]Podklady MZ'!$B$32:$S$32,0)),"")</f>
        <v>7895253.5829491531</v>
      </c>
      <c r="F7" s="715">
        <f>IF(T!$A$4+3&gt;=MOD('[14]Podklady MZ'!F$31:G$31+3,12),G7/$I$30,"")</f>
        <v>954928.28670669231</v>
      </c>
      <c r="G7" s="715">
        <f>IF(T!$A$4+3&gt;=MOD('[14]Podklady MZ'!F$31:G$31+3,12),INDEX('[14]Podklady MZ'!$C35:$S35,1,MATCH(F$4,'[14]Podklady MZ'!$B$32:$S$32,0)),"")</f>
        <v>10153893.3678663</v>
      </c>
      <c r="H7" s="715">
        <f>IF(T!$A$4+3&gt;=MOD('[14]Podklady MZ'!H$31:I$31+3,12),I7/$I$30,"")</f>
        <v>1055007.4495851609</v>
      </c>
      <c r="I7" s="715">
        <f>IF(T!$A$4+3&gt;=MOD('[14]Podklady MZ'!H$31:I$31+3,12),INDEX('[14]Podklady MZ'!$C35:$S35,1,MATCH(H$4,'[14]Podklady MZ'!$B$32:$S$32,0)),"")</f>
        <v>11218049.872977158</v>
      </c>
      <c r="J7" s="715">
        <f>IF(T!$A$4+3&gt;=MOD('[14]Podklady MZ'!J$31:K$31+3,12),K7/$I$30,"")</f>
        <v>953287.27551154641</v>
      </c>
      <c r="K7" s="715">
        <f>IF(T!$A$4+3&gt;=MOD('[14]Podklady MZ'!J$31:K$31+3,12),INDEX('[14]Podklady MZ'!$C35:$S35,1,MATCH(J$4,'[14]Podklady MZ'!$B$32:$S$32,0)),"")</f>
        <v>10136444.253704594</v>
      </c>
      <c r="L7" s="715" t="str">
        <f>IF(T!$A$4+3&gt;=MOD('[14]Podklady MZ'!L$31:M$31+3,12),M7/$I$30,"")</f>
        <v/>
      </c>
      <c r="M7" s="716" t="str">
        <f>IF(T!$A$4+3&gt;=MOD('[14]Podklady MZ'!L$31:M$31+3,12),INDEX('[14]Podklady MZ'!$C35:$S35,1,MATCH(L$4,'[14]Podklady MZ'!$B$32:$S$32,0)),"")</f>
        <v/>
      </c>
      <c r="Q7" s="713"/>
      <c r="U7" s="713"/>
    </row>
    <row r="8" spans="1:21" s="94" customFormat="1" ht="21.95" customHeight="1" x14ac:dyDescent="0.2">
      <c r="A8" s="714"/>
      <c r="B8" s="711">
        <f>IF(T!$A$4+3&gt;=MOD('[14]Podklady MZ'!B$31:C$31+3,12),C8/$I$30,"")</f>
        <v>311034.32127393864</v>
      </c>
      <c r="C8" s="715">
        <f>IF(T!$A$4+3&gt;=MOD('[14]Podklady MZ'!B$31:C$31+3,12),INDEX('[14]Podklady MZ'!$C36:$S36,1,MATCH(B$4,'[14]Podklady MZ'!$B$32:$S$32,0)),"")</f>
        <v>3307273.8298015152</v>
      </c>
      <c r="D8" s="712">
        <f>IF(T!$A$4+3&gt;=MOD('[14]Podklady MZ'!D$31:E$31+3,12),E8/$I$30,"")</f>
        <v>545619.69507698528</v>
      </c>
      <c r="E8" s="715">
        <f>IF(T!$A$4+3&gt;=MOD('[14]Podklady MZ'!D$31:E$31+3,12),INDEX('[14]Podklady MZ'!$C36:$S36,1,MATCH(D$4,'[14]Podklady MZ'!$B$32:$S$32,0)),"")</f>
        <v>5801654.7214514585</v>
      </c>
      <c r="F8" s="715">
        <f>IF(T!$A$4+3&gt;=MOD('[14]Podklady MZ'!F$31:G$31+3,12),G8/$I$30,"")</f>
        <v>701600.52043052716</v>
      </c>
      <c r="G8" s="715">
        <f>IF(T!$A$4+3&gt;=MOD('[14]Podklady MZ'!F$31:G$31+3,12),INDEX('[14]Podklady MZ'!$C36:$S36,1,MATCH(F$4,'[14]Podklady MZ'!$B$32:$S$32,0)),"")</f>
        <v>7460221.8516951464</v>
      </c>
      <c r="H8" s="715">
        <f>IF(T!$A$4+3&gt;=MOD('[14]Podklady MZ'!H$31:I$31+3,12),I8/$I$30,"")</f>
        <v>777431.96502292051</v>
      </c>
      <c r="I8" s="715">
        <f>IF(T!$A$4+3&gt;=MOD('[14]Podklady MZ'!H$31:I$31+3,12),INDEX('[14]Podklady MZ'!$C36:$S36,1,MATCH(H$4,'[14]Podklady MZ'!$B$32:$S$32,0)),"")</f>
        <v>8266548.7906299084</v>
      </c>
      <c r="J8" s="715">
        <f>IF(T!$A$4+3&gt;=MOD('[14]Podklady MZ'!J$31:K$31+3,12),K8/$I$30,"")</f>
        <v>700567.12436365173</v>
      </c>
      <c r="K8" s="715">
        <f>IF(T!$A$4+3&gt;=MOD('[14]Podklady MZ'!J$31:K$31+3,12),INDEX('[14]Podklady MZ'!$C36:$S36,1,MATCH(J$4,'[14]Podklady MZ'!$B$32:$S$32,0)),"")</f>
        <v>7449233.5988431834</v>
      </c>
      <c r="L8" s="715" t="str">
        <f>IF(T!$A$4+3&gt;=MOD('[14]Podklady MZ'!L$31:M$31+3,12),M8/$I$30,"")</f>
        <v/>
      </c>
      <c r="M8" s="716" t="str">
        <f>IF(T!$A$4+3&gt;=MOD('[14]Podklady MZ'!L$31:M$31+3,12),INDEX('[14]Podklady MZ'!$C36:$S36,1,MATCH(L$4,'[14]Podklady MZ'!$B$32:$S$32,0)),"")</f>
        <v/>
      </c>
      <c r="Q8" s="713"/>
      <c r="U8" s="713"/>
    </row>
    <row r="9" spans="1:21" s="94" customFormat="1" ht="12" customHeight="1" x14ac:dyDescent="0.2">
      <c r="A9" s="717"/>
      <c r="B9" s="718"/>
      <c r="C9" s="719"/>
      <c r="D9" s="720"/>
      <c r="E9" s="719"/>
      <c r="F9" s="719"/>
      <c r="G9" s="719"/>
      <c r="H9" s="719"/>
      <c r="I9" s="719"/>
      <c r="J9" s="719"/>
      <c r="K9" s="719"/>
      <c r="L9" s="719"/>
      <c r="M9" s="721"/>
      <c r="Q9" s="713"/>
      <c r="U9" s="713"/>
    </row>
    <row r="10" spans="1:21" s="94" customFormat="1" ht="12" customHeight="1" x14ac:dyDescent="0.2">
      <c r="A10" s="516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Q10" s="713"/>
      <c r="U10" s="713"/>
    </row>
    <row r="11" spans="1:21" s="94" customFormat="1" ht="20.100000000000001" customHeight="1" x14ac:dyDescent="0.2">
      <c r="A11" s="512" t="s">
        <v>298</v>
      </c>
      <c r="B11" s="711">
        <f>IF(T!$A$4+3&gt;=MOD('[14]Podklady MZ'!B$31:C$31+3,12),C11/$I$30,"")</f>
        <v>303188.29025240365</v>
      </c>
      <c r="C11" s="720">
        <f>IF(T!$A$4+3&gt;=MOD('[14]Podklady MZ'!B$31:C$31+3,12),INDEX('[14]Podklady MZ'!$C39:$S39,1,MATCH(B$4,'[14]Podklady MZ'!$B$32:$S$32,0)),"")</f>
        <v>3223845.8243034361</v>
      </c>
      <c r="D11" s="712">
        <f>IF(T!$A$4+3&gt;=MOD('[14]Podklady MZ'!D$31:E$31+3,12),E11/$I$30,"")</f>
        <v>483064.63875790115</v>
      </c>
      <c r="E11" s="720">
        <f>IF(T!$A$4+3&gt;=MOD('[14]Podklady MZ'!D$31:E$31+3,12),INDEX('[14]Podklady MZ'!$C39:$S39,1,MATCH(D$4,'[14]Podklady MZ'!$B$32:$S$32,0)),"")</f>
        <v>5136497.577897341</v>
      </c>
      <c r="F11" s="720">
        <f>IF(T!$A$4+3&gt;=MOD('[14]Podklady MZ'!F$31:G$31+3,12),G11/$I$30,"")</f>
        <v>676210.7191735896</v>
      </c>
      <c r="G11" s="720">
        <f>IF(T!$A$4+3&gt;=MOD('[14]Podklady MZ'!F$31:G$31+3,12),INDEX('[14]Podklady MZ'!$C39:$S39,1,MATCH(F$4,'[14]Podklady MZ'!$B$32:$S$32,0)),"")</f>
        <v>7190248.3487807373</v>
      </c>
      <c r="H11" s="720">
        <f>IF(T!$A$4+3&gt;=MOD('[14]Podklady MZ'!H$31:I$31+3,12),I11/$I$30,"")</f>
        <v>712227.06704143819</v>
      </c>
      <c r="I11" s="720">
        <f>IF(T!$A$4+3&gt;=MOD('[14]Podklady MZ'!H$31:I$31+3,12),INDEX('[14]Podklady MZ'!$C39:$S39,1,MATCH(H$4,'[14]Podklady MZ'!$B$32:$S$32,0)),"")</f>
        <v>7573215.4897074569</v>
      </c>
      <c r="J11" s="720">
        <f>IF(T!$A$4+3&gt;=MOD('[14]Podklady MZ'!J$31:K$31+3,12),K11/$I$30,"")</f>
        <v>643494.18636309355</v>
      </c>
      <c r="K11" s="720">
        <f>IF(T!$A$4+3&gt;=MOD('[14]Podklady MZ'!J$31:K$31+3,12),INDEX('[14]Podklady MZ'!$C39:$S39,1,MATCH(J$4,'[14]Podklady MZ'!$B$32:$S$32,0)),"")</f>
        <v>6842368.6282315105</v>
      </c>
      <c r="L11" s="720" t="str">
        <f>IF(T!$A$4+3&gt;=MOD('[14]Podklady MZ'!L$31:M$31+3,12),M11/$I$30,"")</f>
        <v/>
      </c>
      <c r="M11" s="250" t="str">
        <f>IF(T!$A$4+3&gt;=MOD('[14]Podklady MZ'!L$31:M$31+3,12),INDEX('[14]Podklady MZ'!$C39:$S39,1,MATCH(L$4,'[14]Podklady MZ'!$B$32:$S$32,0)),"")</f>
        <v/>
      </c>
      <c r="N11" s="834"/>
      <c r="Q11" s="713"/>
      <c r="U11" s="713"/>
    </row>
    <row r="12" spans="1:21" s="94" customFormat="1" ht="20.100000000000001" customHeight="1" x14ac:dyDescent="0.2">
      <c r="A12" s="722" t="s">
        <v>123</v>
      </c>
      <c r="B12" s="723">
        <f>IF(T!$A$4+3&gt;=MOD('[14]Podklady MZ'!B$31:C$31+3,12),C12/$I$30,"")</f>
        <v>10106.27634174679</v>
      </c>
      <c r="C12" s="719">
        <f>IF(T!$A$4+3&gt;=MOD('[14]Podklady MZ'!B$31:C$31+3,12),INDEX('[14]Podklady MZ'!$C40:$S40,1,MATCH(B$4,'[14]Podklady MZ'!$B$32:$S$32,0)),"")</f>
        <v>107461.52747678121</v>
      </c>
      <c r="D12" s="719">
        <f>IF(T!$A$4+3&gt;=MOD('[14]Podklady MZ'!D$31:E$31+3,12),E12/$I$30,"")</f>
        <v>16102.154625263374</v>
      </c>
      <c r="E12" s="719">
        <f>IF(T!$A$4+3&gt;=MOD('[14]Podklady MZ'!D$31:E$31+3,12),INDEX('[14]Podklady MZ'!$C40:$S40,1,MATCH(D$4,'[14]Podklady MZ'!$B$32:$S$32,0)),"")</f>
        <v>171216.58592991138</v>
      </c>
      <c r="F12" s="719">
        <f>IF(T!$A$4+3&gt;=MOD('[14]Podklady MZ'!F$31:G$31+3,12),G12/$I$30,"")</f>
        <v>22540.357305786321</v>
      </c>
      <c r="G12" s="719">
        <f>IF(T!$A$4+3&gt;=MOD('[14]Podklady MZ'!F$31:G$31+3,12),INDEX('[14]Podklady MZ'!$C40:$S40,1,MATCH(F$4,'[14]Podklady MZ'!$B$32:$S$32,0)),"")</f>
        <v>239674.9449593579</v>
      </c>
      <c r="H12" s="719">
        <f>IF(T!$A$4+3&gt;=MOD('[14]Podklady MZ'!H$31:I$31+3,12),I12/$I$30,"")</f>
        <v>23740.902234714606</v>
      </c>
      <c r="I12" s="719">
        <f>IF(T!$A$4+3&gt;=MOD('[14]Podklady MZ'!H$31:I$31+3,12),INDEX('[14]Podklady MZ'!$C40:$S40,1,MATCH(H$4,'[14]Podklady MZ'!$B$32:$S$32,0)),"")</f>
        <v>252440.51632358189</v>
      </c>
      <c r="J12" s="719">
        <f>IF(T!$A$4+3&gt;=MOD('[14]Podklady MZ'!J$31:K$31+3,12),K12/$I$30,"")</f>
        <v>21449.806212103122</v>
      </c>
      <c r="K12" s="719">
        <f>IF(T!$A$4+3&gt;=MOD('[14]Podklady MZ'!J$31:K$31+3,12),INDEX('[14]Podklady MZ'!$C40:$S40,1,MATCH(J$4,'[14]Podklady MZ'!$B$32:$S$32,0)),"")</f>
        <v>228078.95427438369</v>
      </c>
      <c r="L12" s="719" t="str">
        <f>IF(T!$A$4+3&gt;=MOD('[14]Podklady MZ'!L$31:M$31+3,12),M12/$I$30,"")</f>
        <v/>
      </c>
      <c r="M12" s="721" t="str">
        <f>IF(T!$A$4+3&gt;=MOD('[14]Podklady MZ'!L$31:M$31+3,12),INDEX('[14]Podklady MZ'!$C40:$S40,1,MATCH(L$4,'[14]Podklady MZ'!$B$32:$S$32,0)),"")</f>
        <v/>
      </c>
      <c r="N12" s="834"/>
      <c r="Q12" s="713"/>
      <c r="U12" s="713"/>
    </row>
    <row r="13" spans="1:21" ht="24" customHeight="1" x14ac:dyDescent="0.2">
      <c r="A13" s="1105" t="s">
        <v>299</v>
      </c>
      <c r="B13" s="1105"/>
      <c r="C13" s="1105"/>
      <c r="D13" s="1105"/>
      <c r="E13" s="1105"/>
      <c r="F13" s="1105"/>
      <c r="G13" s="1105"/>
      <c r="H13" s="1105"/>
      <c r="I13" s="1105"/>
      <c r="J13" s="1105"/>
      <c r="K13" s="1105"/>
      <c r="L13" s="1105"/>
      <c r="M13" s="1105"/>
      <c r="S13" s="94"/>
    </row>
    <row r="14" spans="1:21" ht="20.100000000000001" customHeight="1" x14ac:dyDescent="0.2">
      <c r="A14" s="724" t="s">
        <v>300</v>
      </c>
      <c r="B14" s="725"/>
      <c r="C14" s="725"/>
      <c r="D14" s="725"/>
      <c r="E14" s="725"/>
      <c r="F14" s="725"/>
      <c r="G14" s="725"/>
      <c r="H14" s="725"/>
      <c r="I14" s="725"/>
      <c r="J14" s="725"/>
      <c r="K14" s="725"/>
      <c r="L14" s="725"/>
      <c r="M14" s="725"/>
    </row>
    <row r="15" spans="1:21" ht="12.95" customHeight="1" x14ac:dyDescent="0.2">
      <c r="A15" s="1106" t="s">
        <v>301</v>
      </c>
      <c r="B15" s="726">
        <v>1</v>
      </c>
      <c r="C15" s="726">
        <v>2</v>
      </c>
      <c r="D15" s="726">
        <v>3</v>
      </c>
      <c r="E15" s="726">
        <v>4</v>
      </c>
      <c r="F15" s="726">
        <v>5</v>
      </c>
      <c r="G15" s="726">
        <v>6</v>
      </c>
      <c r="H15" s="726">
        <v>7</v>
      </c>
      <c r="I15" s="726">
        <v>8</v>
      </c>
      <c r="J15" s="726">
        <v>9</v>
      </c>
      <c r="K15" s="726">
        <v>10</v>
      </c>
      <c r="L15" s="726">
        <v>11</v>
      </c>
      <c r="M15" s="727">
        <v>12</v>
      </c>
    </row>
    <row r="16" spans="1:21" ht="12.95" customHeight="1" x14ac:dyDescent="0.2">
      <c r="A16" s="1107"/>
      <c r="B16" s="728" t="s">
        <v>302</v>
      </c>
      <c r="C16" s="728" t="s">
        <v>303</v>
      </c>
      <c r="D16" s="728" t="s">
        <v>304</v>
      </c>
      <c r="E16" s="728" t="s">
        <v>305</v>
      </c>
      <c r="F16" s="728" t="s">
        <v>306</v>
      </c>
      <c r="G16" s="728" t="s">
        <v>307</v>
      </c>
      <c r="H16" s="728" t="s">
        <v>308</v>
      </c>
      <c r="I16" s="728" t="s">
        <v>309</v>
      </c>
      <c r="J16" s="728" t="s">
        <v>310</v>
      </c>
      <c r="K16" s="728" t="s">
        <v>311</v>
      </c>
      <c r="L16" s="728" t="s">
        <v>312</v>
      </c>
      <c r="M16" s="729" t="s">
        <v>313</v>
      </c>
    </row>
    <row r="17" spans="1:13" ht="18" customHeight="1" x14ac:dyDescent="0.2">
      <c r="A17" s="730" t="s">
        <v>314</v>
      </c>
      <c r="B17" s="731">
        <v>7.5879168679824412E-3</v>
      </c>
      <c r="C17" s="731">
        <v>9.9213908561849133E-3</v>
      </c>
      <c r="D17" s="731">
        <v>9.2517113717469294E-3</v>
      </c>
      <c r="E17" s="731">
        <v>1.0315286353309075E-2</v>
      </c>
      <c r="F17" s="731">
        <v>7.8724124630453318E-3</v>
      </c>
      <c r="G17" s="731">
        <v>9.169534848460021E-3</v>
      </c>
      <c r="H17" s="731">
        <v>8.7501177140999181E-3</v>
      </c>
      <c r="I17" s="731">
        <v>9.5334466600738629E-3</v>
      </c>
      <c r="J17" s="731">
        <v>7.6957879336573675E-3</v>
      </c>
      <c r="K17" s="731">
        <v>8.957764553813365E-3</v>
      </c>
      <c r="L17" s="731">
        <v>1.0547796446752007E-2</v>
      </c>
      <c r="M17" s="732">
        <v>6.1360948964735576E-3</v>
      </c>
    </row>
    <row r="18" spans="1:13" ht="18" customHeight="1" x14ac:dyDescent="0.2">
      <c r="A18" s="730" t="s">
        <v>315</v>
      </c>
      <c r="B18" s="731">
        <v>0.17838451306032638</v>
      </c>
      <c r="C18" s="731">
        <v>0.23322087098961905</v>
      </c>
      <c r="D18" s="731">
        <v>0.22790469358923013</v>
      </c>
      <c r="E18" s="731">
        <v>0.2410479323490535</v>
      </c>
      <c r="F18" s="731">
        <v>0.19606864588265258</v>
      </c>
      <c r="G18" s="731">
        <v>0.21699065771156845</v>
      </c>
      <c r="H18" s="731">
        <v>0.21858970887377513</v>
      </c>
      <c r="I18" s="731">
        <v>0.23156107128186976</v>
      </c>
      <c r="J18" s="731">
        <v>0.18326942107533048</v>
      </c>
      <c r="K18" s="731">
        <v>0.21761555033697624</v>
      </c>
      <c r="L18" s="731">
        <v>0.24043124925008516</v>
      </c>
      <c r="M18" s="732">
        <v>0.17304638254057195</v>
      </c>
    </row>
    <row r="19" spans="1:13" ht="18" customHeight="1" x14ac:dyDescent="0.2">
      <c r="A19" s="733" t="s">
        <v>316</v>
      </c>
      <c r="B19" s="734">
        <v>0.13275827345724461</v>
      </c>
      <c r="C19" s="734">
        <v>0.17184516925560528</v>
      </c>
      <c r="D19" s="734">
        <v>0.17153673779608417</v>
      </c>
      <c r="E19" s="734">
        <v>0.17951853549002891</v>
      </c>
      <c r="F19" s="734">
        <v>0.15059838790977903</v>
      </c>
      <c r="G19" s="734">
        <v>0.16233311074021575</v>
      </c>
      <c r="H19" s="734">
        <v>0.17004196692609586</v>
      </c>
      <c r="I19" s="734">
        <v>0.18074732372464078</v>
      </c>
      <c r="J19" s="734">
        <v>0.14571971457125713</v>
      </c>
      <c r="K19" s="734">
        <v>0.16744305503251139</v>
      </c>
      <c r="L19" s="734">
        <v>0.17846893135765182</v>
      </c>
      <c r="M19" s="735">
        <v>0.15215410681153427</v>
      </c>
    </row>
    <row r="20" spans="1:13" ht="9.9499999999999993" customHeight="1" x14ac:dyDescent="0.2">
      <c r="A20" s="725"/>
      <c r="B20" s="725"/>
      <c r="C20" s="725"/>
      <c r="D20" s="725"/>
      <c r="E20" s="725"/>
      <c r="F20" s="725"/>
      <c r="G20" s="725"/>
      <c r="H20" s="725"/>
      <c r="I20" s="725"/>
      <c r="J20" s="725"/>
      <c r="K20" s="725"/>
      <c r="L20" s="725"/>
      <c r="M20" s="725"/>
    </row>
    <row r="21" spans="1:13" ht="20.100000000000001" customHeight="1" x14ac:dyDescent="0.2">
      <c r="A21" s="724" t="s">
        <v>317</v>
      </c>
      <c r="B21" s="725"/>
      <c r="C21" s="725"/>
      <c r="D21" s="725"/>
      <c r="E21" s="725"/>
      <c r="F21" s="725"/>
      <c r="G21" s="725"/>
      <c r="H21" s="725"/>
      <c r="I21" s="725"/>
      <c r="J21" s="725"/>
      <c r="K21" s="725"/>
      <c r="L21" s="725"/>
      <c r="M21" s="725"/>
    </row>
    <row r="22" spans="1:13" ht="18" customHeight="1" x14ac:dyDescent="0.2">
      <c r="A22" s="736" t="s">
        <v>318</v>
      </c>
      <c r="B22" s="737">
        <v>3.357210626287888</v>
      </c>
      <c r="C22" s="725"/>
      <c r="D22" s="1108"/>
      <c r="E22" s="1108"/>
      <c r="F22" s="1108"/>
      <c r="G22" s="1108"/>
      <c r="H22" s="1108"/>
      <c r="I22" s="1108"/>
      <c r="J22" s="1108"/>
      <c r="K22" s="1108"/>
      <c r="L22" s="1108"/>
      <c r="M22" s="725"/>
    </row>
    <row r="23" spans="1:13" ht="18" customHeight="1" x14ac:dyDescent="0.2">
      <c r="A23" s="730" t="s">
        <v>319</v>
      </c>
      <c r="B23" s="732">
        <v>1.906720520402311</v>
      </c>
      <c r="C23" s="725"/>
      <c r="D23" s="1108"/>
      <c r="E23" s="1108"/>
      <c r="F23" s="1108"/>
      <c r="G23" s="1108"/>
      <c r="H23" s="1108"/>
      <c r="I23" s="1108"/>
      <c r="J23" s="1108"/>
      <c r="K23" s="1108"/>
      <c r="L23" s="1108"/>
      <c r="M23" s="725"/>
    </row>
    <row r="24" spans="1:13" ht="18" customHeight="1" x14ac:dyDescent="0.2">
      <c r="A24" s="733" t="s">
        <v>320</v>
      </c>
      <c r="B24" s="735">
        <v>1.1859137284761181</v>
      </c>
      <c r="C24" s="725"/>
      <c r="D24" s="1108"/>
      <c r="E24" s="1108"/>
      <c r="F24" s="1108"/>
      <c r="G24" s="1108"/>
      <c r="H24" s="1108"/>
      <c r="I24" s="1108"/>
      <c r="J24" s="1108"/>
      <c r="K24" s="1108"/>
      <c r="L24" s="1108"/>
      <c r="M24" s="725"/>
    </row>
    <row r="25" spans="1:13" ht="9.9499999999999993" customHeight="1" x14ac:dyDescent="0.2">
      <c r="A25" s="95"/>
      <c r="B25" s="725"/>
      <c r="C25" s="725"/>
      <c r="D25" s="725"/>
      <c r="E25" s="725"/>
      <c r="F25" s="725"/>
      <c r="G25" s="725"/>
      <c r="H25" s="725"/>
      <c r="I25" s="725"/>
      <c r="J25" s="725"/>
      <c r="K25" s="725"/>
      <c r="L25" s="725"/>
      <c r="M25" s="725"/>
    </row>
    <row r="26" spans="1:13" ht="20.100000000000001" customHeight="1" x14ac:dyDescent="0.2">
      <c r="A26" s="724" t="s">
        <v>321</v>
      </c>
      <c r="B26" s="725"/>
      <c r="C26" s="725"/>
      <c r="D26" s="725"/>
      <c r="E26" s="725"/>
      <c r="F26" s="725"/>
      <c r="G26" s="725"/>
      <c r="H26" s="725"/>
      <c r="I26" s="725"/>
      <c r="J26" s="725"/>
      <c r="K26" s="725"/>
      <c r="L26" s="725"/>
      <c r="M26" s="725"/>
    </row>
    <row r="27" spans="1:13" ht="15" customHeight="1" x14ac:dyDescent="0.2">
      <c r="A27" s="736"/>
      <c r="B27" s="728" t="s">
        <v>13</v>
      </c>
      <c r="C27" s="728" t="s">
        <v>58</v>
      </c>
      <c r="D27" s="728" t="s">
        <v>59</v>
      </c>
      <c r="E27" s="728" t="s">
        <v>60</v>
      </c>
      <c r="F27" s="728" t="s">
        <v>61</v>
      </c>
      <c r="G27" s="728" t="s">
        <v>62</v>
      </c>
      <c r="H27" s="728" t="s">
        <v>63</v>
      </c>
      <c r="I27" s="728" t="s">
        <v>64</v>
      </c>
      <c r="J27" s="728" t="s">
        <v>65</v>
      </c>
      <c r="K27" s="728" t="s">
        <v>66</v>
      </c>
      <c r="L27" s="728" t="s">
        <v>67</v>
      </c>
      <c r="M27" s="729" t="s">
        <v>68</v>
      </c>
    </row>
    <row r="28" spans="1:13" ht="15" customHeight="1" x14ac:dyDescent="0.2">
      <c r="A28" s="733" t="s">
        <v>321</v>
      </c>
      <c r="B28" s="738">
        <v>1</v>
      </c>
      <c r="C28" s="738">
        <v>0.9</v>
      </c>
      <c r="D28" s="738">
        <v>0.7</v>
      </c>
      <c r="E28" s="738">
        <v>0</v>
      </c>
      <c r="F28" s="738">
        <v>0</v>
      </c>
      <c r="G28" s="738">
        <v>0</v>
      </c>
      <c r="H28" s="738">
        <v>0</v>
      </c>
      <c r="I28" s="738">
        <v>0</v>
      </c>
      <c r="J28" s="738">
        <v>0</v>
      </c>
      <c r="K28" s="738">
        <v>0.4</v>
      </c>
      <c r="L28" s="738">
        <v>0.7</v>
      </c>
      <c r="M28" s="739">
        <v>0.9</v>
      </c>
    </row>
    <row r="30" spans="1:13" x14ac:dyDescent="0.2">
      <c r="A30" s="1109" t="s">
        <v>322</v>
      </c>
      <c r="B30" s="1109"/>
      <c r="C30" s="1109"/>
      <c r="D30" s="1109"/>
      <c r="E30" s="1109"/>
      <c r="F30" s="1109"/>
      <c r="G30" s="1109"/>
      <c r="H30" s="1109"/>
      <c r="I30" s="740">
        <f>'5'!F17/'5'!E17</f>
        <v>10.633147545439801</v>
      </c>
      <c r="J30" s="706" t="s">
        <v>323</v>
      </c>
      <c r="K30" s="1109" t="s">
        <v>324</v>
      </c>
      <c r="L30" s="1109"/>
      <c r="M30" s="1109"/>
    </row>
    <row r="34" spans="2:13" x14ac:dyDescent="0.2">
      <c r="B34" s="828">
        <v>10</v>
      </c>
      <c r="C34" s="828">
        <v>10</v>
      </c>
      <c r="D34" s="828">
        <v>11</v>
      </c>
      <c r="E34" s="828">
        <v>11</v>
      </c>
      <c r="F34" s="828">
        <v>12</v>
      </c>
      <c r="G34" s="828">
        <v>12</v>
      </c>
      <c r="H34" s="828">
        <v>1</v>
      </c>
      <c r="I34" s="828">
        <v>1</v>
      </c>
      <c r="J34" s="828">
        <v>2</v>
      </c>
      <c r="K34" s="828">
        <v>2</v>
      </c>
      <c r="L34" s="828">
        <v>3</v>
      </c>
      <c r="M34" s="828">
        <v>3</v>
      </c>
    </row>
    <row r="35" spans="2:13" x14ac:dyDescent="0.2">
      <c r="B35" s="828">
        <v>1</v>
      </c>
      <c r="C35" s="828">
        <v>2</v>
      </c>
      <c r="D35" s="828">
        <v>3</v>
      </c>
      <c r="E35" s="828">
        <v>4</v>
      </c>
      <c r="F35" s="828">
        <v>5</v>
      </c>
      <c r="G35" s="828">
        <v>6</v>
      </c>
      <c r="H35" s="828">
        <v>7</v>
      </c>
      <c r="I35" s="828">
        <v>8</v>
      </c>
      <c r="J35" s="828">
        <v>9</v>
      </c>
      <c r="K35" s="828">
        <v>10</v>
      </c>
      <c r="L35" s="828">
        <v>11</v>
      </c>
      <c r="M35" s="828">
        <v>12</v>
      </c>
    </row>
  </sheetData>
  <mergeCells count="14">
    <mergeCell ref="A13:M13"/>
    <mergeCell ref="A15:A16"/>
    <mergeCell ref="D22:L24"/>
    <mergeCell ref="A30:H30"/>
    <mergeCell ref="K30:M30"/>
    <mergeCell ref="L1:M1"/>
    <mergeCell ref="A2:M2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&amp;C19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56694C5-9FA5-426E-92AB-8637D2BC6AFA}">
            <xm:f>T!$A$4+3=MOD(B$34+3,12)</xm:f>
            <x14:dxf>
              <fill>
                <patternFill>
                  <bgColor theme="7" tint="0.39994506668294322"/>
                </patternFill>
              </fill>
            </x14:dxf>
          </x14:cfRule>
          <xm:sqref>B6:M8</xm:sqref>
        </x14:conditionalFormatting>
        <x14:conditionalFormatting xmlns:xm="http://schemas.microsoft.com/office/excel/2006/main">
          <x14:cfRule type="expression" priority="1" id="{8455879C-3513-4FC0-9525-4BCDF4C2C9BF}">
            <xm:f>T!$A$4=B$35</xm:f>
            <x14:dxf>
              <fill>
                <patternFill>
                  <bgColor theme="7" tint="0.39994506668294322"/>
                </patternFill>
              </fill>
            </x14:dxf>
          </x14:cfRule>
          <xm:sqref>B28:M28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L17" sqref="L17"/>
    </sheetView>
  </sheetViews>
  <sheetFormatPr defaultRowHeight="11.25" x14ac:dyDescent="0.2"/>
  <cols>
    <col min="1" max="1" width="0.85546875" style="629" customWidth="1"/>
    <col min="2" max="2" width="9.7109375" style="629" customWidth="1"/>
    <col min="3" max="3" width="6.7109375" style="629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948"/>
      <c r="J1" s="948"/>
      <c r="K1" s="948"/>
      <c r="L1" s="836"/>
    </row>
    <row r="2" spans="1:20" ht="24.75" customHeight="1" x14ac:dyDescent="0.25">
      <c r="B2" s="837"/>
      <c r="C2" s="1123" t="s">
        <v>386</v>
      </c>
      <c r="D2" s="1123"/>
      <c r="E2" s="1123"/>
      <c r="F2" s="1123"/>
      <c r="G2" s="1123"/>
      <c r="H2" s="1123"/>
      <c r="I2" s="1123"/>
      <c r="J2" s="837"/>
      <c r="K2" s="837"/>
    </row>
    <row r="3" spans="1:20" ht="24.95" customHeight="1" x14ac:dyDescent="0.2">
      <c r="A3" s="838"/>
      <c r="B3" s="839"/>
      <c r="C3" s="1123"/>
      <c r="D3" s="1123"/>
      <c r="E3" s="1123"/>
      <c r="F3" s="1123"/>
      <c r="G3" s="1123"/>
      <c r="H3" s="1123"/>
      <c r="I3" s="1123"/>
      <c r="J3" s="840"/>
      <c r="K3" s="841"/>
    </row>
    <row r="4" spans="1:20" ht="24.95" customHeight="1" x14ac:dyDescent="0.2">
      <c r="A4" s="842"/>
      <c r="B4" s="839"/>
      <c r="C4" s="839"/>
      <c r="D4" s="1124"/>
      <c r="E4" s="1124"/>
      <c r="F4" s="1124"/>
      <c r="G4" s="1124"/>
      <c r="H4" s="843"/>
      <c r="I4" s="840"/>
      <c r="J4" s="840"/>
      <c r="K4" s="844"/>
    </row>
    <row r="5" spans="1:20" ht="24.95" customHeight="1" x14ac:dyDescent="0.2">
      <c r="A5" s="842"/>
      <c r="B5" s="1118" t="s">
        <v>364</v>
      </c>
      <c r="C5" s="1118"/>
      <c r="D5" s="845" t="s">
        <v>365</v>
      </c>
      <c r="E5" s="1125" t="s">
        <v>366</v>
      </c>
      <c r="F5" s="1126"/>
      <c r="G5" s="846"/>
      <c r="H5" s="847" t="s">
        <v>152</v>
      </c>
      <c r="I5" s="1118" t="s">
        <v>367</v>
      </c>
      <c r="J5" s="1118"/>
      <c r="K5" s="844"/>
      <c r="N5" s="848"/>
    </row>
    <row r="6" spans="1:20" ht="24.95" customHeight="1" x14ac:dyDescent="0.2">
      <c r="A6" s="842"/>
      <c r="B6" s="1118"/>
      <c r="C6" s="1118"/>
      <c r="D6" s="849"/>
      <c r="E6" s="850"/>
      <c r="F6" s="850"/>
      <c r="G6" s="842"/>
      <c r="H6" s="842"/>
      <c r="I6" s="1118"/>
      <c r="J6" s="1118"/>
      <c r="K6" s="844"/>
      <c r="M6" s="851"/>
      <c r="N6" s="848"/>
    </row>
    <row r="7" spans="1:20" ht="24.95" customHeight="1" x14ac:dyDescent="0.2">
      <c r="A7" s="842"/>
      <c r="B7" s="852"/>
      <c r="C7" s="852"/>
      <c r="D7" s="853"/>
      <c r="E7" s="853"/>
      <c r="F7" s="1115"/>
      <c r="G7" s="1115"/>
      <c r="H7" s="1115"/>
      <c r="I7" s="1115"/>
      <c r="J7" s="852"/>
      <c r="K7" s="844"/>
      <c r="M7" s="851"/>
      <c r="N7" s="848"/>
    </row>
    <row r="8" spans="1:20" ht="24.95" customHeight="1" x14ac:dyDescent="0.2">
      <c r="A8" s="842"/>
      <c r="B8" s="1113"/>
      <c r="C8" s="1113"/>
      <c r="D8" s="853"/>
      <c r="E8" s="853"/>
      <c r="F8" s="1116"/>
      <c r="G8" s="1117"/>
      <c r="H8" s="16"/>
      <c r="I8" s="1127" t="s">
        <v>370</v>
      </c>
      <c r="J8" s="1127"/>
      <c r="K8" s="844"/>
      <c r="M8" s="851"/>
      <c r="N8" s="848"/>
      <c r="O8" s="71"/>
    </row>
    <row r="9" spans="1:20" ht="24.95" customHeight="1" x14ac:dyDescent="0.2">
      <c r="A9" s="842"/>
      <c r="B9" s="1118" t="s">
        <v>368</v>
      </c>
      <c r="C9" s="1118"/>
      <c r="D9" s="854" t="s">
        <v>369</v>
      </c>
      <c r="F9" s="1117"/>
      <c r="G9" s="1117"/>
      <c r="H9" s="842"/>
      <c r="I9" s="1127"/>
      <c r="J9" s="1127"/>
      <c r="K9" s="844"/>
      <c r="N9" s="848"/>
      <c r="O9" s="71"/>
    </row>
    <row r="10" spans="1:20" ht="24.95" customHeight="1" x14ac:dyDescent="0.2">
      <c r="A10" s="842"/>
      <c r="B10" s="1118"/>
      <c r="C10" s="1118"/>
      <c r="D10" s="855"/>
      <c r="E10" s="856" t="s">
        <v>371</v>
      </c>
      <c r="F10" s="857"/>
      <c r="G10" s="842"/>
      <c r="H10" s="842"/>
      <c r="L10" s="16"/>
      <c r="M10" s="851"/>
      <c r="N10" s="848"/>
      <c r="O10" s="71"/>
      <c r="P10" s="848"/>
      <c r="R10" s="848"/>
      <c r="S10" s="848"/>
      <c r="T10" s="848"/>
    </row>
    <row r="11" spans="1:20" ht="24.95" customHeight="1" x14ac:dyDescent="0.2">
      <c r="A11" s="842"/>
      <c r="D11" s="855"/>
      <c r="E11" s="1118" t="s">
        <v>372</v>
      </c>
      <c r="F11" s="1118"/>
      <c r="G11" s="858"/>
      <c r="H11" s="858"/>
      <c r="I11" s="1120" t="s">
        <v>85</v>
      </c>
      <c r="J11" s="1120"/>
      <c r="K11" s="1120"/>
      <c r="L11" s="16"/>
      <c r="N11" s="848"/>
      <c r="O11" s="71"/>
      <c r="P11" s="848"/>
      <c r="R11" s="848"/>
      <c r="S11" s="848"/>
      <c r="T11" s="848"/>
    </row>
    <row r="12" spans="1:20" ht="24.95" customHeight="1" x14ac:dyDescent="0.2">
      <c r="A12" s="842"/>
      <c r="B12" s="1113"/>
      <c r="C12" s="1113"/>
      <c r="D12" s="859"/>
      <c r="E12" s="1118"/>
      <c r="F12" s="1118"/>
      <c r="I12" s="1120"/>
      <c r="J12" s="1120"/>
      <c r="K12" s="1120"/>
      <c r="L12" s="16"/>
      <c r="N12" s="848"/>
      <c r="O12" s="848"/>
      <c r="P12" s="848"/>
      <c r="Q12" s="71"/>
      <c r="R12" s="848"/>
      <c r="S12" s="848"/>
      <c r="T12" s="848"/>
    </row>
    <row r="13" spans="1:20" ht="24.95" customHeight="1" x14ac:dyDescent="0.2">
      <c r="A13" s="842"/>
      <c r="B13" s="1118" t="s">
        <v>373</v>
      </c>
      <c r="C13" s="1118"/>
      <c r="D13" s="859" t="s">
        <v>374</v>
      </c>
      <c r="K13" s="839"/>
      <c r="L13" s="16"/>
      <c r="N13" s="848"/>
      <c r="O13" s="848"/>
      <c r="P13" s="848"/>
      <c r="R13" s="848"/>
      <c r="S13" s="848"/>
      <c r="T13" s="848"/>
    </row>
    <row r="14" spans="1:20" ht="24.95" customHeight="1" x14ac:dyDescent="0.2">
      <c r="A14" s="842"/>
      <c r="B14" s="1118"/>
      <c r="C14" s="1118"/>
      <c r="I14" s="1118" t="s">
        <v>409</v>
      </c>
      <c r="J14" s="1118"/>
      <c r="K14" s="839"/>
      <c r="L14" s="16"/>
      <c r="N14" s="848"/>
      <c r="O14" s="848"/>
      <c r="P14" s="848"/>
      <c r="Q14" s="71"/>
      <c r="R14" s="848"/>
      <c r="S14" s="848"/>
      <c r="T14" s="848"/>
    </row>
    <row r="15" spans="1:20" ht="24.95" customHeight="1" x14ac:dyDescent="0.2">
      <c r="A15" s="842"/>
      <c r="E15" s="96"/>
      <c r="F15" s="860"/>
      <c r="G15" s="861"/>
      <c r="I15" s="1118"/>
      <c r="J15" s="1118"/>
      <c r="K15" s="844"/>
      <c r="L15" s="16"/>
      <c r="N15" s="848"/>
      <c r="O15" s="848"/>
      <c r="P15" s="848"/>
      <c r="R15" s="848"/>
      <c r="S15" s="848"/>
      <c r="T15" s="848"/>
    </row>
    <row r="16" spans="1:20" ht="24.95" customHeight="1" x14ac:dyDescent="0.2">
      <c r="A16" s="842"/>
      <c r="D16" s="842"/>
      <c r="H16" s="919"/>
      <c r="L16" s="16"/>
      <c r="N16" s="848"/>
      <c r="O16" s="848"/>
      <c r="P16" s="848"/>
      <c r="Q16" s="71"/>
      <c r="R16" s="848"/>
      <c r="S16" s="848"/>
      <c r="T16" s="848"/>
    </row>
    <row r="17" spans="1:20" ht="24.95" customHeight="1" x14ac:dyDescent="0.2">
      <c r="A17" s="842"/>
      <c r="B17" s="1113"/>
      <c r="C17" s="1113"/>
      <c r="D17" s="862"/>
      <c r="H17" s="919"/>
      <c r="I17" s="1128" t="s">
        <v>375</v>
      </c>
      <c r="J17" s="1128"/>
      <c r="K17" s="844"/>
      <c r="L17" s="863"/>
      <c r="M17" s="71"/>
      <c r="N17" s="71"/>
      <c r="O17" s="71"/>
      <c r="P17" s="848"/>
      <c r="R17" s="848"/>
      <c r="S17" s="848"/>
      <c r="T17" s="848"/>
    </row>
    <row r="18" spans="1:20" ht="24.95" customHeight="1" x14ac:dyDescent="0.2">
      <c r="A18" s="844"/>
      <c r="B18" s="1119" t="s">
        <v>376</v>
      </c>
      <c r="C18" s="1119"/>
      <c r="D18" s="864" t="s">
        <v>377</v>
      </c>
      <c r="E18" s="839"/>
      <c r="F18" s="839"/>
      <c r="I18" s="1128"/>
      <c r="J18" s="1128"/>
      <c r="K18" s="844"/>
      <c r="N18" s="848"/>
      <c r="O18" s="848"/>
      <c r="P18" s="848"/>
      <c r="R18" s="848"/>
      <c r="S18" s="848"/>
      <c r="T18" s="848"/>
    </row>
    <row r="19" spans="1:20" ht="24.95" customHeight="1" x14ac:dyDescent="0.2">
      <c r="A19" s="865"/>
      <c r="B19" s="1119"/>
      <c r="C19" s="1119"/>
      <c r="D19" s="866"/>
      <c r="E19" s="856" t="s">
        <v>378</v>
      </c>
      <c r="F19" s="867"/>
      <c r="G19" s="842"/>
      <c r="H19" s="842"/>
      <c r="I19" s="1121"/>
      <c r="J19" s="1121"/>
      <c r="K19" s="865"/>
      <c r="N19" s="848"/>
      <c r="O19" s="71"/>
      <c r="T19" s="848"/>
    </row>
    <row r="20" spans="1:20" ht="24.95" customHeight="1" x14ac:dyDescent="0.2">
      <c r="A20" s="865"/>
      <c r="B20" s="1122"/>
      <c r="C20" s="1122"/>
      <c r="D20" s="866"/>
      <c r="E20" s="1119" t="s">
        <v>379</v>
      </c>
      <c r="F20" s="1119"/>
      <c r="I20" s="1119" t="s">
        <v>407</v>
      </c>
      <c r="J20" s="1119"/>
      <c r="K20" s="865"/>
      <c r="M20" s="71"/>
      <c r="N20" s="848"/>
      <c r="P20" s="71"/>
      <c r="T20" s="848"/>
    </row>
    <row r="21" spans="1:20" ht="24.95" customHeight="1" x14ac:dyDescent="0.2">
      <c r="A21" s="865"/>
      <c r="B21" s="1122"/>
      <c r="C21" s="1122"/>
      <c r="D21" s="866"/>
      <c r="E21" s="1119"/>
      <c r="F21" s="1119"/>
      <c r="I21" s="1119"/>
      <c r="J21" s="1119"/>
      <c r="K21" s="865"/>
      <c r="M21" s="71"/>
      <c r="N21" s="848"/>
      <c r="O21" s="71"/>
    </row>
    <row r="22" spans="1:20" ht="24.95" customHeight="1" x14ac:dyDescent="0.2">
      <c r="B22" s="1119" t="s">
        <v>380</v>
      </c>
      <c r="C22" s="1119"/>
      <c r="D22" s="868" t="s">
        <v>381</v>
      </c>
      <c r="K22" s="869"/>
      <c r="N22" s="848"/>
    </row>
    <row r="23" spans="1:20" ht="24.95" customHeight="1" x14ac:dyDescent="0.2">
      <c r="B23" s="1119"/>
      <c r="C23" s="1119"/>
      <c r="D23" s="870"/>
      <c r="H23" s="919"/>
      <c r="I23" s="1130" t="s">
        <v>406</v>
      </c>
      <c r="J23" s="1131"/>
      <c r="K23" s="869"/>
      <c r="L23" s="851"/>
    </row>
    <row r="24" spans="1:20" ht="24.95" customHeight="1" x14ac:dyDescent="0.2">
      <c r="A24" s="871"/>
      <c r="B24" s="871"/>
      <c r="C24" s="871"/>
      <c r="D24" s="871"/>
      <c r="F24" s="1128" t="s">
        <v>382</v>
      </c>
      <c r="G24" s="1128"/>
      <c r="H24" s="919"/>
      <c r="I24" s="1130"/>
      <c r="J24" s="1131"/>
      <c r="K24" s="869"/>
      <c r="M24" s="71"/>
      <c r="O24" s="71"/>
    </row>
    <row r="25" spans="1:20" ht="24.95" customHeight="1" x14ac:dyDescent="0.2">
      <c r="A25" s="871"/>
      <c r="D25" s="871"/>
      <c r="E25" s="922"/>
      <c r="F25" s="1128"/>
      <c r="G25" s="1128"/>
      <c r="H25" s="839"/>
      <c r="K25" s="869"/>
    </row>
    <row r="26" spans="1:20" ht="24.95" customHeight="1" x14ac:dyDescent="0.2">
      <c r="A26" s="871"/>
      <c r="I26" s="1130" t="s">
        <v>384</v>
      </c>
      <c r="J26" s="1129"/>
      <c r="K26" s="869"/>
      <c r="M26" s="71"/>
      <c r="N26" s="71"/>
    </row>
    <row r="27" spans="1:20" ht="24.95" customHeight="1" x14ac:dyDescent="0.2">
      <c r="A27" s="871"/>
      <c r="B27" s="1111"/>
      <c r="C27" s="1111"/>
      <c r="D27" s="1111"/>
      <c r="E27" s="921"/>
      <c r="F27" s="921"/>
      <c r="I27" s="1130"/>
      <c r="J27" s="1129"/>
      <c r="M27" s="71"/>
      <c r="N27" s="71"/>
    </row>
    <row r="28" spans="1:20" ht="24.95" customHeight="1" x14ac:dyDescent="0.2">
      <c r="E28" s="921"/>
      <c r="F28" s="921"/>
    </row>
    <row r="29" spans="1:20" ht="24.95" customHeight="1" x14ac:dyDescent="0.2">
      <c r="F29" s="1112"/>
      <c r="G29" s="1112"/>
      <c r="H29" s="920"/>
      <c r="I29" s="920"/>
    </row>
    <row r="30" spans="1:20" ht="10.5" customHeight="1" x14ac:dyDescent="0.2">
      <c r="G30" s="1113"/>
      <c r="H30" s="1113"/>
    </row>
    <row r="31" spans="1:20" ht="24.95" customHeight="1" x14ac:dyDescent="0.2">
      <c r="F31" s="1129" t="s">
        <v>385</v>
      </c>
      <c r="G31" s="1129"/>
      <c r="I31" s="921"/>
      <c r="J31" s="921"/>
    </row>
    <row r="32" spans="1:20" ht="24.95" customHeight="1" x14ac:dyDescent="0.2">
      <c r="B32" s="871"/>
      <c r="C32" s="871"/>
      <c r="D32" s="871"/>
      <c r="E32" s="871"/>
      <c r="F32" s="1129"/>
      <c r="G32" s="1129"/>
      <c r="I32" s="921"/>
      <c r="J32" s="921"/>
      <c r="K32" s="871"/>
    </row>
    <row r="33" spans="1:11" ht="12.95" customHeight="1" x14ac:dyDescent="0.2"/>
    <row r="34" spans="1:11" ht="12.95" customHeight="1" x14ac:dyDescent="0.2">
      <c r="A34" s="1114"/>
      <c r="B34" s="1114"/>
      <c r="C34" s="1114"/>
      <c r="D34" s="1114"/>
      <c r="E34" s="1114"/>
      <c r="F34" s="1114"/>
      <c r="G34" s="1114"/>
      <c r="H34" s="1114"/>
      <c r="I34" s="1114"/>
      <c r="J34" s="1114"/>
      <c r="K34" s="1114"/>
    </row>
    <row r="35" spans="1:11" ht="20.100000000000001" customHeight="1" x14ac:dyDescent="0.2">
      <c r="A35" s="1110"/>
      <c r="B35" s="1110"/>
      <c r="C35" s="1110"/>
      <c r="D35" s="1110"/>
      <c r="E35" s="1110"/>
      <c r="F35" s="1110"/>
      <c r="G35" s="1110"/>
      <c r="H35" s="1110"/>
      <c r="I35" s="1110"/>
      <c r="J35" s="1110"/>
      <c r="K35" s="1110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820"/>
      <c r="F47" s="820"/>
      <c r="G47" s="820"/>
      <c r="H47" s="820"/>
    </row>
    <row r="48" spans="1:11" ht="15" customHeight="1" x14ac:dyDescent="0.2">
      <c r="E48" s="820"/>
      <c r="F48" s="820"/>
      <c r="G48" s="820"/>
      <c r="H48" s="820"/>
    </row>
    <row r="49" spans="4:20" ht="15" customHeight="1" x14ac:dyDescent="0.2">
      <c r="E49" s="820"/>
      <c r="F49" s="820"/>
      <c r="G49" s="820"/>
      <c r="H49" s="820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9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9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9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9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9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9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9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9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9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9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9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I8:J9"/>
    <mergeCell ref="F24:G25"/>
    <mergeCell ref="F31:G32"/>
    <mergeCell ref="I23:J24"/>
    <mergeCell ref="I26:J27"/>
    <mergeCell ref="I17:J18"/>
    <mergeCell ref="I1:K1"/>
    <mergeCell ref="C2:I3"/>
    <mergeCell ref="D4:G4"/>
    <mergeCell ref="B5:C6"/>
    <mergeCell ref="E5:F5"/>
    <mergeCell ref="I5:J6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A35:K35"/>
    <mergeCell ref="B27:D27"/>
    <mergeCell ref="F29:G29"/>
    <mergeCell ref="G30:H30"/>
    <mergeCell ref="A34:K34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6384" width="9.140625" style="42"/>
  </cols>
  <sheetData>
    <row r="1" spans="1:14" x14ac:dyDescent="0.2">
      <c r="A1" s="1132"/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1132"/>
    </row>
    <row r="2" spans="1:14" ht="15.75" x14ac:dyDescent="0.25">
      <c r="A2" s="1098" t="s">
        <v>383</v>
      </c>
      <c r="B2" s="1098"/>
      <c r="C2" s="1098"/>
      <c r="D2" s="1098"/>
      <c r="E2" s="1098"/>
      <c r="F2" s="1098"/>
      <c r="G2" s="1098"/>
      <c r="H2" s="1098"/>
      <c r="I2" s="1098"/>
      <c r="J2" s="1098"/>
      <c r="K2" s="1098"/>
      <c r="L2" s="1098"/>
      <c r="M2" s="1098"/>
      <c r="N2" s="1098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8"/>
  <sheetViews>
    <sheetView view="pageBreakPreview" zoomScaleNormal="100" zoomScaleSheetLayoutView="100" workbookViewId="0">
      <selection activeCell="L17" sqref="L17"/>
    </sheetView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943" t="s">
        <v>100</v>
      </c>
      <c r="B1" s="226"/>
      <c r="C1" s="941"/>
      <c r="D1" s="941"/>
    </row>
    <row r="2" spans="1:4" x14ac:dyDescent="0.2">
      <c r="A2" s="943"/>
      <c r="B2" s="226"/>
    </row>
    <row r="3" spans="1:4" x14ac:dyDescent="0.2">
      <c r="A3" s="943"/>
      <c r="B3" s="227"/>
    </row>
    <row r="4" spans="1:4" x14ac:dyDescent="0.2">
      <c r="A4" s="944"/>
      <c r="B4" s="226"/>
      <c r="C4" s="231" t="s">
        <v>101</v>
      </c>
    </row>
    <row r="5" spans="1:4" ht="18" customHeight="1" x14ac:dyDescent="0.2">
      <c r="A5" s="630" t="s">
        <v>99</v>
      </c>
      <c r="B5" s="631" t="s">
        <v>50</v>
      </c>
      <c r="C5" s="632" t="s">
        <v>102</v>
      </c>
      <c r="D5" s="632"/>
    </row>
    <row r="6" spans="1:4" ht="18" customHeight="1" x14ac:dyDescent="0.2">
      <c r="A6" s="636" t="s">
        <v>103</v>
      </c>
      <c r="B6" s="228" t="s">
        <v>50</v>
      </c>
      <c r="C6" s="202" t="s">
        <v>4</v>
      </c>
      <c r="D6" s="202"/>
    </row>
    <row r="7" spans="1:4" ht="18" customHeight="1" x14ac:dyDescent="0.2">
      <c r="A7" s="636" t="s">
        <v>9</v>
      </c>
      <c r="B7" s="228" t="s">
        <v>50</v>
      </c>
      <c r="C7" s="202" t="s">
        <v>119</v>
      </c>
      <c r="D7" s="202"/>
    </row>
    <row r="8" spans="1:4" ht="18" customHeight="1" x14ac:dyDescent="0.2">
      <c r="A8" s="636" t="s">
        <v>123</v>
      </c>
      <c r="B8" s="228" t="s">
        <v>50</v>
      </c>
      <c r="C8" s="202" t="s">
        <v>127</v>
      </c>
      <c r="D8" s="202"/>
    </row>
    <row r="9" spans="1:4" ht="18" customHeight="1" x14ac:dyDescent="0.2">
      <c r="A9" s="636" t="s">
        <v>147</v>
      </c>
      <c r="B9" s="228" t="s">
        <v>50</v>
      </c>
      <c r="C9" s="202" t="s">
        <v>148</v>
      </c>
      <c r="D9" s="202"/>
    </row>
    <row r="10" spans="1:4" ht="18" customHeight="1" x14ac:dyDescent="0.2">
      <c r="A10" s="636" t="s">
        <v>130</v>
      </c>
      <c r="B10" s="228" t="s">
        <v>50</v>
      </c>
      <c r="C10" s="202" t="s">
        <v>131</v>
      </c>
      <c r="D10" s="202"/>
    </row>
    <row r="11" spans="1:4" ht="18" customHeight="1" x14ac:dyDescent="0.2">
      <c r="A11" s="636" t="s">
        <v>135</v>
      </c>
      <c r="B11" s="228" t="s">
        <v>50</v>
      </c>
      <c r="C11" s="202" t="s">
        <v>136</v>
      </c>
      <c r="D11" s="202"/>
    </row>
    <row r="12" spans="1:4" ht="18" customHeight="1" x14ac:dyDescent="0.2">
      <c r="A12" s="636" t="s">
        <v>112</v>
      </c>
      <c r="B12" s="228" t="s">
        <v>50</v>
      </c>
      <c r="C12" s="202" t="s">
        <v>113</v>
      </c>
      <c r="D12" s="97"/>
    </row>
    <row r="13" spans="1:4" ht="18" customHeight="1" x14ac:dyDescent="0.2">
      <c r="A13" s="636" t="s">
        <v>139</v>
      </c>
      <c r="B13" s="228" t="s">
        <v>50</v>
      </c>
      <c r="C13" s="97" t="s">
        <v>140</v>
      </c>
      <c r="D13" s="202"/>
    </row>
    <row r="14" spans="1:4" ht="18" customHeight="1" x14ac:dyDescent="0.2">
      <c r="A14" s="636" t="s">
        <v>149</v>
      </c>
      <c r="B14" s="228" t="s">
        <v>50</v>
      </c>
      <c r="C14" s="202" t="s">
        <v>150</v>
      </c>
      <c r="D14" s="202"/>
    </row>
    <row r="15" spans="1:4" ht="18" customHeight="1" x14ac:dyDescent="0.2">
      <c r="A15" s="636" t="s">
        <v>108</v>
      </c>
      <c r="B15" s="228" t="s">
        <v>50</v>
      </c>
      <c r="C15" s="202" t="s">
        <v>109</v>
      </c>
      <c r="D15" s="202"/>
    </row>
    <row r="16" spans="1:4" ht="18" customHeight="1" x14ac:dyDescent="0.2">
      <c r="A16" s="636" t="s">
        <v>8</v>
      </c>
      <c r="B16" s="228" t="s">
        <v>50</v>
      </c>
      <c r="C16" s="202" t="s">
        <v>116</v>
      </c>
      <c r="D16" s="202"/>
    </row>
    <row r="17" spans="1:4" ht="18" customHeight="1" x14ac:dyDescent="0.2">
      <c r="A17" s="636" t="s">
        <v>122</v>
      </c>
      <c r="B17" s="228" t="s">
        <v>50</v>
      </c>
      <c r="C17" s="202" t="s">
        <v>121</v>
      </c>
      <c r="D17" s="202"/>
    </row>
    <row r="18" spans="1:4" ht="18" customHeight="1" x14ac:dyDescent="0.2">
      <c r="A18" s="636" t="s">
        <v>141</v>
      </c>
      <c r="B18" s="228" t="s">
        <v>50</v>
      </c>
      <c r="C18" s="202" t="s">
        <v>142</v>
      </c>
      <c r="D18" s="202"/>
    </row>
    <row r="19" spans="1:4" ht="18" customHeight="1" x14ac:dyDescent="0.2">
      <c r="A19" s="636" t="s">
        <v>120</v>
      </c>
      <c r="B19" s="228" t="s">
        <v>50</v>
      </c>
      <c r="C19" s="202" t="s">
        <v>405</v>
      </c>
      <c r="D19" s="202"/>
    </row>
    <row r="20" spans="1:4" ht="18" customHeight="1" x14ac:dyDescent="0.2">
      <c r="A20" s="636" t="s">
        <v>137</v>
      </c>
      <c r="B20" s="228" t="s">
        <v>50</v>
      </c>
      <c r="C20" s="202" t="s">
        <v>138</v>
      </c>
      <c r="D20" s="97"/>
    </row>
    <row r="21" spans="1:4" ht="18" customHeight="1" x14ac:dyDescent="0.2">
      <c r="A21" s="636" t="s">
        <v>115</v>
      </c>
      <c r="B21" s="228" t="s">
        <v>50</v>
      </c>
      <c r="C21" s="202" t="s">
        <v>114</v>
      </c>
      <c r="D21" s="97"/>
    </row>
    <row r="22" spans="1:4" ht="18" customHeight="1" x14ac:dyDescent="0.2">
      <c r="A22" s="636" t="s">
        <v>105</v>
      </c>
      <c r="B22" s="228" t="s">
        <v>50</v>
      </c>
      <c r="C22" s="202" t="s">
        <v>104</v>
      </c>
      <c r="D22" s="97"/>
    </row>
    <row r="23" spans="1:4" ht="18" customHeight="1" x14ac:dyDescent="0.2">
      <c r="A23" s="637" t="s">
        <v>184</v>
      </c>
      <c r="B23" s="228" t="s">
        <v>50</v>
      </c>
      <c r="C23" s="202" t="s">
        <v>125</v>
      </c>
      <c r="D23" s="97"/>
    </row>
    <row r="24" spans="1:4" ht="18" customHeight="1" x14ac:dyDescent="0.2">
      <c r="A24" s="636" t="s">
        <v>107</v>
      </c>
      <c r="B24" s="228" t="s">
        <v>50</v>
      </c>
      <c r="C24" s="202" t="s">
        <v>106</v>
      </c>
      <c r="D24" s="97"/>
    </row>
    <row r="25" spans="1:4" ht="18" customHeight="1" x14ac:dyDescent="0.2">
      <c r="A25" s="637" t="s">
        <v>185</v>
      </c>
      <c r="B25" s="228" t="s">
        <v>50</v>
      </c>
      <c r="C25" s="942" t="s">
        <v>124</v>
      </c>
      <c r="D25" s="942"/>
    </row>
    <row r="26" spans="1:4" ht="18" customHeight="1" x14ac:dyDescent="0.2">
      <c r="A26" s="637" t="s">
        <v>186</v>
      </c>
      <c r="B26" s="228" t="s">
        <v>50</v>
      </c>
      <c r="C26" s="942" t="s">
        <v>126</v>
      </c>
      <c r="D26" s="942"/>
    </row>
    <row r="27" spans="1:4" ht="18" customHeight="1" x14ac:dyDescent="0.2">
      <c r="A27" s="636" t="s">
        <v>7</v>
      </c>
      <c r="B27" s="228" t="s">
        <v>50</v>
      </c>
      <c r="C27" s="202" t="s">
        <v>118</v>
      </c>
      <c r="D27" s="202"/>
    </row>
    <row r="28" spans="1:4" ht="18" customHeight="1" x14ac:dyDescent="0.2">
      <c r="A28" s="636" t="s">
        <v>132</v>
      </c>
      <c r="B28" s="228" t="s">
        <v>50</v>
      </c>
      <c r="C28" s="202" t="s">
        <v>404</v>
      </c>
      <c r="D28" s="202"/>
    </row>
    <row r="29" spans="1:4" ht="18" customHeight="1" x14ac:dyDescent="0.2">
      <c r="A29" s="636" t="s">
        <v>133</v>
      </c>
      <c r="B29" s="228" t="s">
        <v>50</v>
      </c>
      <c r="C29" s="202" t="s">
        <v>134</v>
      </c>
      <c r="D29" s="202"/>
    </row>
    <row r="30" spans="1:4" ht="18" customHeight="1" x14ac:dyDescent="0.2">
      <c r="A30" s="636" t="s">
        <v>6</v>
      </c>
      <c r="B30" s="228" t="s">
        <v>50</v>
      </c>
      <c r="C30" s="202" t="s">
        <v>117</v>
      </c>
      <c r="D30" s="202"/>
    </row>
    <row r="31" spans="1:4" ht="18" customHeight="1" x14ac:dyDescent="0.2">
      <c r="A31" s="636" t="s">
        <v>145</v>
      </c>
      <c r="B31" s="228" t="s">
        <v>50</v>
      </c>
      <c r="C31" s="202" t="s">
        <v>146</v>
      </c>
      <c r="D31" s="202"/>
    </row>
    <row r="32" spans="1:4" ht="18" customHeight="1" x14ac:dyDescent="0.2">
      <c r="A32" s="636" t="s">
        <v>180</v>
      </c>
      <c r="B32" s="228" t="s">
        <v>50</v>
      </c>
      <c r="C32" s="202" t="s">
        <v>178</v>
      </c>
      <c r="D32" s="202"/>
    </row>
    <row r="33" spans="1:4" ht="18" customHeight="1" x14ac:dyDescent="0.2">
      <c r="A33" s="636" t="s">
        <v>222</v>
      </c>
      <c r="B33" s="228" t="s">
        <v>50</v>
      </c>
      <c r="C33" s="942" t="s">
        <v>223</v>
      </c>
      <c r="D33" s="942"/>
    </row>
    <row r="34" spans="1:4" ht="18" customHeight="1" x14ac:dyDescent="0.2">
      <c r="A34" s="633" t="s">
        <v>111</v>
      </c>
      <c r="B34" s="634" t="s">
        <v>50</v>
      </c>
      <c r="C34" s="635" t="s">
        <v>110</v>
      </c>
      <c r="D34" s="635"/>
    </row>
    <row r="35" spans="1:4" ht="18" customHeight="1" x14ac:dyDescent="0.2">
      <c r="A35" s="238"/>
      <c r="B35" s="228"/>
      <c r="C35" s="158"/>
      <c r="D35" s="158"/>
    </row>
    <row r="36" spans="1:4" ht="23.1" customHeight="1" x14ac:dyDescent="0.2">
      <c r="A36" s="236"/>
      <c r="B36" s="229"/>
      <c r="C36" s="88"/>
      <c r="D36" s="88"/>
    </row>
    <row r="37" spans="1:4" ht="23.1" customHeight="1" x14ac:dyDescent="0.2">
      <c r="A37" s="236"/>
      <c r="B37" s="229"/>
      <c r="C37" s="88"/>
      <c r="D37" s="88"/>
    </row>
    <row r="38" spans="1:4" ht="23.1" customHeight="1" x14ac:dyDescent="0.2">
      <c r="A38" s="236"/>
      <c r="B38" s="229"/>
      <c r="C38" s="201"/>
      <c r="D38" s="201"/>
    </row>
    <row r="39" spans="1:4" ht="23.1" customHeight="1" x14ac:dyDescent="0.2">
      <c r="A39" s="237"/>
      <c r="B39" s="230"/>
      <c r="C39" s="86"/>
      <c r="D39" s="86"/>
    </row>
    <row r="40" spans="1:4" ht="23.1" customHeight="1" x14ac:dyDescent="0.2">
      <c r="A40" s="236"/>
      <c r="B40" s="229"/>
      <c r="C40" s="88"/>
      <c r="D40" s="88"/>
    </row>
    <row r="41" spans="1:4" ht="23.1" customHeight="1" x14ac:dyDescent="0.2">
      <c r="A41" s="236"/>
      <c r="B41" s="229"/>
      <c r="C41" s="88"/>
      <c r="D41" s="88"/>
    </row>
    <row r="42" spans="1:4" ht="23.1" customHeight="1" x14ac:dyDescent="0.2">
      <c r="A42" s="236"/>
      <c r="B42" s="229"/>
      <c r="C42" s="88"/>
      <c r="D42" s="88"/>
    </row>
    <row r="43" spans="1:4" ht="23.1" customHeight="1" x14ac:dyDescent="0.2">
      <c r="A43" s="236"/>
      <c r="B43" s="229"/>
      <c r="C43" s="940"/>
      <c r="D43" s="940"/>
    </row>
    <row r="44" spans="1:4" ht="21.75" customHeight="1" x14ac:dyDescent="0.2">
      <c r="A44" s="236"/>
      <c r="B44" s="229"/>
      <c r="C44" s="940"/>
      <c r="D44" s="940"/>
    </row>
    <row r="45" spans="1:4" ht="23.1" customHeight="1" x14ac:dyDescent="0.2">
      <c r="A45" s="87"/>
      <c r="B45" s="89"/>
      <c r="C45" s="940"/>
      <c r="D45" s="940"/>
    </row>
    <row r="46" spans="1:4" ht="23.1" customHeight="1" x14ac:dyDescent="0.2">
      <c r="A46" s="87"/>
      <c r="B46" s="89"/>
      <c r="C46" s="940"/>
      <c r="D46" s="940"/>
    </row>
    <row r="47" spans="1:4" ht="23.1" customHeight="1" x14ac:dyDescent="0.2">
      <c r="A47" s="87"/>
      <c r="B47" s="89"/>
      <c r="C47" s="940"/>
      <c r="D47" s="940"/>
    </row>
    <row r="48" spans="1:4" ht="30" customHeight="1" x14ac:dyDescent="0.2">
      <c r="A48" s="939"/>
      <c r="B48" s="939"/>
      <c r="C48" s="939"/>
      <c r="D48" s="939"/>
    </row>
  </sheetData>
  <sortState ref="A5:C35">
    <sortCondition ref="A5"/>
  </sortState>
  <mergeCells count="11">
    <mergeCell ref="C45:D45"/>
    <mergeCell ref="C46:D46"/>
    <mergeCell ref="C47:D47"/>
    <mergeCell ref="A48:D48"/>
    <mergeCell ref="C1:D1"/>
    <mergeCell ref="C43:D43"/>
    <mergeCell ref="C44:D44"/>
    <mergeCell ref="C25:D25"/>
    <mergeCell ref="C26:D26"/>
    <mergeCell ref="A1:A4"/>
    <mergeCell ref="C33:D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>
      <selection activeCell="L17" sqref="L17"/>
    </sheetView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60"/>
    </row>
    <row r="5" spans="1:4" ht="30" customHeight="1" x14ac:dyDescent="0.2">
      <c r="A5" s="23"/>
      <c r="B5" s="20"/>
      <c r="C5" s="945"/>
      <c r="D5" s="946"/>
    </row>
    <row r="6" spans="1:4" ht="30" customHeight="1" x14ac:dyDescent="0.2">
      <c r="A6" s="23"/>
      <c r="B6" s="20"/>
      <c r="C6" s="945"/>
      <c r="D6" s="946"/>
    </row>
    <row r="7" spans="1:4" ht="30" customHeight="1" x14ac:dyDescent="0.2">
      <c r="A7" s="23"/>
      <c r="B7" s="20"/>
      <c r="C7" s="945"/>
      <c r="D7" s="946"/>
    </row>
    <row r="8" spans="1:4" ht="30" customHeight="1" x14ac:dyDescent="0.2">
      <c r="A8" s="23"/>
      <c r="B8" s="20"/>
      <c r="C8" s="945"/>
      <c r="D8" s="946"/>
    </row>
    <row r="9" spans="1:4" ht="30" customHeight="1" x14ac:dyDescent="0.2">
      <c r="A9" s="23"/>
      <c r="B9" s="20"/>
      <c r="C9" s="945"/>
      <c r="D9" s="946"/>
    </row>
    <row r="10" spans="1:4" ht="30" customHeight="1" x14ac:dyDescent="0.2">
      <c r="A10" s="23"/>
      <c r="B10" s="20"/>
      <c r="C10" s="945"/>
      <c r="D10" s="946"/>
    </row>
    <row r="11" spans="1:4" ht="30" customHeight="1" x14ac:dyDescent="0.2">
      <c r="A11" s="23"/>
      <c r="B11" s="20"/>
      <c r="C11" s="945"/>
      <c r="D11" s="946"/>
    </row>
    <row r="12" spans="1:4" ht="30" customHeight="1" x14ac:dyDescent="0.2">
      <c r="A12" s="23"/>
      <c r="B12" s="20"/>
      <c r="C12" s="945"/>
      <c r="D12" s="946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9"/>
      <c r="B30" s="130"/>
      <c r="C30" s="131"/>
      <c r="D30" s="131"/>
    </row>
    <row r="31" spans="1:4" ht="23.1" customHeight="1" x14ac:dyDescent="0.2">
      <c r="A31" s="129"/>
      <c r="B31" s="132"/>
      <c r="C31" s="86"/>
      <c r="D31" s="86"/>
    </row>
    <row r="32" spans="1:4" ht="23.1" customHeight="1" x14ac:dyDescent="0.2">
      <c r="A32" s="129"/>
      <c r="B32" s="56"/>
      <c r="C32" s="57"/>
      <c r="D32" s="57"/>
    </row>
    <row r="33" spans="1:4" ht="23.1" customHeight="1" x14ac:dyDescent="0.2">
      <c r="A33" s="6"/>
      <c r="B33" s="22"/>
      <c r="C33" s="946"/>
      <c r="D33" s="946"/>
    </row>
    <row r="34" spans="1:4" ht="23.1" customHeight="1" x14ac:dyDescent="0.2">
      <c r="A34" s="6"/>
      <c r="B34" s="22"/>
      <c r="C34" s="946"/>
      <c r="D34" s="946"/>
    </row>
    <row r="35" spans="1:4" ht="23.1" customHeight="1" x14ac:dyDescent="0.2">
      <c r="A35" s="6"/>
      <c r="B35" s="22"/>
      <c r="C35" s="946"/>
      <c r="D35" s="946"/>
    </row>
    <row r="36" spans="1:4" ht="30" customHeight="1" x14ac:dyDescent="0.2">
      <c r="A36" s="939"/>
      <c r="B36" s="939"/>
      <c r="C36" s="939"/>
      <c r="D36" s="939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>
      <selection activeCell="H16" sqref="H16"/>
    </sheetView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948" t="s">
        <v>51</v>
      </c>
      <c r="I1" s="948"/>
    </row>
    <row r="2" spans="1:18" ht="15.75" customHeight="1" x14ac:dyDescent="0.25">
      <c r="A2" s="949" t="s">
        <v>221</v>
      </c>
      <c r="B2" s="949"/>
      <c r="C2" s="949"/>
      <c r="D2" s="949"/>
      <c r="E2" s="949"/>
      <c r="F2" s="949"/>
      <c r="G2" s="949"/>
      <c r="H2" s="949"/>
      <c r="I2" s="949"/>
    </row>
    <row r="3" spans="1:18" ht="19.5" customHeight="1" x14ac:dyDescent="0.2">
      <c r="A3" s="141"/>
      <c r="B3" s="483"/>
      <c r="D3" s="224" t="str">
        <f>T!G19</f>
        <v>Únor</v>
      </c>
      <c r="E3" s="223">
        <f>T!I21</f>
        <v>2015</v>
      </c>
      <c r="F3" s="141"/>
      <c r="G3" s="141"/>
      <c r="H3" s="141"/>
    </row>
    <row r="4" spans="1:18" ht="3.75" customHeight="1" x14ac:dyDescent="0.25">
      <c r="A4" s="41"/>
      <c r="B4" s="484"/>
      <c r="C4" s="40"/>
      <c r="D4" s="29"/>
      <c r="E4" s="29"/>
      <c r="F4" s="29"/>
    </row>
    <row r="5" spans="1:18" ht="15" customHeight="1" x14ac:dyDescent="0.2">
      <c r="A5" s="950"/>
      <c r="B5" s="950"/>
      <c r="C5" s="142"/>
      <c r="D5" s="951" t="s">
        <v>15</v>
      </c>
      <c r="E5" s="952"/>
      <c r="F5" s="953"/>
      <c r="G5" s="951" t="s">
        <v>1</v>
      </c>
      <c r="H5" s="952"/>
      <c r="I5" s="952"/>
    </row>
    <row r="6" spans="1:18" ht="15" customHeight="1" x14ac:dyDescent="0.2">
      <c r="A6" s="954" t="s">
        <v>151</v>
      </c>
      <c r="B6" s="955"/>
      <c r="C6" s="468"/>
      <c r="D6" s="143" t="s">
        <v>152</v>
      </c>
      <c r="E6" s="453" t="s">
        <v>153</v>
      </c>
      <c r="F6" s="449" t="s">
        <v>154</v>
      </c>
      <c r="G6" s="143" t="s">
        <v>152</v>
      </c>
      <c r="H6" s="453" t="s">
        <v>153</v>
      </c>
      <c r="I6" s="459" t="s">
        <v>154</v>
      </c>
    </row>
    <row r="7" spans="1:18" ht="15" customHeight="1" x14ac:dyDescent="0.2">
      <c r="A7" s="956"/>
      <c r="B7" s="957"/>
      <c r="C7" s="31" t="s">
        <v>155</v>
      </c>
      <c r="D7" s="64">
        <f>INDEX('[1]Přepravní soustava'!$C$13:$AL$13,1,3*T!$A$4-2)</f>
        <v>2481674.016246439</v>
      </c>
      <c r="E7" s="454">
        <f>-INDEX('[1]Přepravní soustava'!$C$22:$AL$22,1,3*T!$A$4-2)</f>
        <v>-2213891.0476241913</v>
      </c>
      <c r="F7" s="450">
        <f>D7+E7</f>
        <v>267782.96862224769</v>
      </c>
      <c r="G7" s="64">
        <f>INDEX('[1]Přepravní soustava'!$C$13:$AL$13,1,3*T!$A$4-1)</f>
        <v>26389225.865000002</v>
      </c>
      <c r="H7" s="454">
        <f>-INDEX('[1]Přepravní soustava'!$C$22:$AL$22,1,3*T!$A$4-1)</f>
        <v>-23561182.171999998</v>
      </c>
      <c r="I7" s="85">
        <f>G7+H7</f>
        <v>2828043.6930000037</v>
      </c>
      <c r="J7" s="27"/>
      <c r="K7" s="37"/>
      <c r="L7" s="37"/>
      <c r="M7" s="37"/>
      <c r="N7" s="179"/>
      <c r="O7" s="179"/>
      <c r="P7" s="179"/>
    </row>
    <row r="8" spans="1:18" ht="15" customHeight="1" x14ac:dyDescent="0.2">
      <c r="A8" s="956"/>
      <c r="B8" s="957"/>
      <c r="C8" s="100" t="s">
        <v>156</v>
      </c>
      <c r="D8" s="64">
        <f>INDEX('[2]Z ZDS'!$C$31:$AX$31,1,4*T!$A$4-3)</f>
        <v>236.45044478516033</v>
      </c>
      <c r="E8" s="454">
        <f>-INDEX('[2]Do ZDS'!$C$32:$AL$32,1,3*T!$A$4-2)</f>
        <v>-27.33351530625648</v>
      </c>
      <c r="F8" s="450">
        <f>D8+E8</f>
        <v>209.11692947890384</v>
      </c>
      <c r="G8" s="64">
        <f>INDEX('[2]Z ZDS'!$C$31:$AX$31,1,4*T!$A$4-2)</f>
        <v>2482.6423470000004</v>
      </c>
      <c r="H8" s="454">
        <f>-INDEX('[2]Do ZDS'!$C$32:$AL$32,1,3*T!$A$4-1)</f>
        <v>-290.75764429999998</v>
      </c>
      <c r="I8" s="85">
        <f>G8+H8</f>
        <v>2191.8847027000006</v>
      </c>
      <c r="J8" s="27"/>
      <c r="K8" s="37"/>
      <c r="L8" s="37"/>
      <c r="M8" s="37"/>
      <c r="N8" s="179"/>
      <c r="O8" s="179"/>
      <c r="P8" s="179"/>
    </row>
    <row r="9" spans="1:18" ht="15" customHeight="1" x14ac:dyDescent="0.2">
      <c r="A9" s="952"/>
      <c r="B9" s="953"/>
      <c r="C9" s="462" t="s">
        <v>157</v>
      </c>
      <c r="D9" s="464">
        <f>SUM(D7:D8)</f>
        <v>2481910.4666912239</v>
      </c>
      <c r="E9" s="465">
        <f>SUM(E7:E8)</f>
        <v>-2213918.3811394977</v>
      </c>
      <c r="F9" s="466">
        <f>SUM(F7:F8)</f>
        <v>267992.08555172657</v>
      </c>
      <c r="G9" s="464">
        <f t="shared" ref="G9:I9" si="0">SUM(G7:G8)</f>
        <v>26391708.507347003</v>
      </c>
      <c r="H9" s="465">
        <f t="shared" si="0"/>
        <v>-23561472.929644298</v>
      </c>
      <c r="I9" s="467">
        <f t="shared" si="0"/>
        <v>2830235.5777027039</v>
      </c>
      <c r="J9" s="27"/>
      <c r="K9" s="37"/>
      <c r="L9" s="37"/>
      <c r="M9" s="37"/>
      <c r="N9" s="37"/>
      <c r="O9" s="37"/>
      <c r="P9" s="37"/>
      <c r="Q9" s="37"/>
      <c r="R9" s="179"/>
    </row>
    <row r="10" spans="1:18" ht="15" customHeight="1" x14ac:dyDescent="0.2">
      <c r="A10" s="954" t="s">
        <v>158</v>
      </c>
      <c r="B10" s="955"/>
      <c r="C10" s="144"/>
      <c r="D10" s="782" t="s">
        <v>159</v>
      </c>
      <c r="E10" s="455" t="s">
        <v>160</v>
      </c>
      <c r="F10" s="451" t="s">
        <v>161</v>
      </c>
      <c r="G10" s="782" t="s">
        <v>159</v>
      </c>
      <c r="H10" s="455" t="s">
        <v>160</v>
      </c>
      <c r="I10" s="783" t="s">
        <v>161</v>
      </c>
      <c r="J10" s="27"/>
      <c r="K10" s="37"/>
      <c r="L10" s="37"/>
      <c r="M10" s="37"/>
      <c r="N10" s="179"/>
      <c r="O10" s="179"/>
      <c r="P10" s="179"/>
      <c r="Q10" s="179"/>
      <c r="R10" s="179"/>
    </row>
    <row r="11" spans="1:18" ht="15" customHeight="1" x14ac:dyDescent="0.2">
      <c r="A11" s="956"/>
      <c r="B11" s="957"/>
      <c r="C11" s="64" t="s">
        <v>76</v>
      </c>
      <c r="D11" s="447">
        <f>INDEX('[1]Přepravní soustava'!$C39:$AL39,1,3*T!$A$4-2)</f>
        <v>650553.049</v>
      </c>
      <c r="E11" s="456">
        <f>-INDEX('[1]Přepravní soustava'!$C43:$AL43,1,3*T!$A$4-2)</f>
        <v>-9555.2060000000001</v>
      </c>
      <c r="F11" s="452">
        <f>D11+E11</f>
        <v>640997.84299999999</v>
      </c>
      <c r="G11" s="447">
        <f>INDEX('[1]Přepravní soustava'!$C39:$AL39,1,3*T!$A$4-1)</f>
        <v>6925308.665</v>
      </c>
      <c r="H11" s="456">
        <f>-INDEX('[1]Přepravní soustava'!$C43:$AL43,1,3*T!$A$4-1)</f>
        <v>-101322.443</v>
      </c>
      <c r="I11" s="18">
        <f>G11+H11</f>
        <v>6823986.2220000001</v>
      </c>
      <c r="J11" s="27"/>
      <c r="K11" s="37"/>
      <c r="L11" s="37"/>
      <c r="M11" s="37"/>
      <c r="N11" s="179"/>
      <c r="O11" s="179"/>
      <c r="P11" s="179"/>
      <c r="Q11" s="179"/>
      <c r="R11" s="179"/>
    </row>
    <row r="12" spans="1:18" ht="15" customHeight="1" x14ac:dyDescent="0.2">
      <c r="A12" s="956"/>
      <c r="B12" s="957"/>
      <c r="C12" s="102" t="s">
        <v>77</v>
      </c>
      <c r="D12" s="65">
        <f>INDEX('[1]Přepravní soustava'!$C40:$AL40,1,3*T!$A$4-2)</f>
        <v>80291.332999999999</v>
      </c>
      <c r="E12" s="456">
        <f>-INDEX('[1]Přepravní soustava'!$C44:$AL44,1,3*T!$A$4-2)</f>
        <v>0</v>
      </c>
      <c r="F12" s="452">
        <f>D12+E12</f>
        <v>80291.332999999999</v>
      </c>
      <c r="G12" s="65">
        <f>INDEX('[1]Přepravní soustava'!$C40:$AL40,1,3*T!$A$4-1)</f>
        <v>856155.28</v>
      </c>
      <c r="H12" s="456">
        <f>-INDEX('[1]Přepravní soustava'!$C44:$AL44,1,3*T!$A$4-1)</f>
        <v>0</v>
      </c>
      <c r="I12" s="18">
        <f>G12+H12</f>
        <v>856155.28</v>
      </c>
      <c r="J12" s="27"/>
      <c r="K12" s="37"/>
      <c r="L12" s="37"/>
      <c r="M12" s="37"/>
      <c r="N12" s="179"/>
      <c r="O12" s="179"/>
      <c r="P12" s="179"/>
      <c r="Q12" s="179"/>
      <c r="R12" s="179"/>
    </row>
    <row r="13" spans="1:18" ht="15" customHeight="1" x14ac:dyDescent="0.2">
      <c r="A13" s="952"/>
      <c r="B13" s="953"/>
      <c r="C13" s="463" t="s">
        <v>157</v>
      </c>
      <c r="D13" s="469">
        <f t="shared" ref="D13:H13" si="1">SUM(D11:D12)</f>
        <v>730844.38199999998</v>
      </c>
      <c r="E13" s="470">
        <f t="shared" si="1"/>
        <v>-9555.2060000000001</v>
      </c>
      <c r="F13" s="471">
        <f t="shared" si="1"/>
        <v>721289.17599999998</v>
      </c>
      <c r="G13" s="469">
        <f t="shared" si="1"/>
        <v>7781463.9450000003</v>
      </c>
      <c r="H13" s="470">
        <f t="shared" si="1"/>
        <v>-101322.443</v>
      </c>
      <c r="I13" s="472">
        <f>SUM(I11:I12)</f>
        <v>7680141.5020000003</v>
      </c>
      <c r="J13" s="27"/>
      <c r="K13" s="37"/>
      <c r="L13" s="37"/>
      <c r="M13" s="37"/>
      <c r="N13" s="37"/>
      <c r="O13" s="37"/>
      <c r="P13" s="37"/>
      <c r="Q13" s="179"/>
      <c r="R13" s="179"/>
    </row>
    <row r="14" spans="1:18" ht="15" customHeight="1" x14ac:dyDescent="0.2">
      <c r="A14" s="954" t="s">
        <v>83</v>
      </c>
      <c r="B14" s="955"/>
      <c r="C14" s="101"/>
      <c r="D14" s="145" t="s">
        <v>162</v>
      </c>
      <c r="E14" s="457" t="s">
        <v>163</v>
      </c>
      <c r="F14" s="146" t="s">
        <v>182</v>
      </c>
      <c r="G14" s="145" t="s">
        <v>162</v>
      </c>
      <c r="H14" s="457" t="s">
        <v>163</v>
      </c>
      <c r="I14" s="460" t="s">
        <v>182</v>
      </c>
      <c r="J14" s="27"/>
      <c r="K14" s="37"/>
      <c r="L14" s="37"/>
      <c r="M14" s="37"/>
      <c r="N14" s="179"/>
      <c r="O14" s="179"/>
      <c r="P14" s="179"/>
      <c r="Q14" s="37"/>
    </row>
    <row r="15" spans="1:18" ht="15" customHeight="1" x14ac:dyDescent="0.2">
      <c r="A15" s="956"/>
      <c r="B15" s="957"/>
      <c r="C15" s="64" t="s">
        <v>164</v>
      </c>
      <c r="D15" s="64">
        <f>INDEX('[3]Poklady MZ'!$C$9:$Z$10,1,2*T!$A$4-1)</f>
        <v>11405.120999999999</v>
      </c>
      <c r="E15" s="456">
        <f>INDEX('[3]Poklady MZ'!$C$22:$Z$22,1,2*T!$A$4-1)</f>
        <v>742.90700000000106</v>
      </c>
      <c r="F15" s="452">
        <f>D15+E15</f>
        <v>12148.028</v>
      </c>
      <c r="G15" s="64">
        <f>INDEX('[3]Poklady MZ'!$C$9:$Z$10,1,2*T!$A$4)</f>
        <v>124449.17199999999</v>
      </c>
      <c r="H15" s="456">
        <f>INDEX('[3]Poklady MZ'!$C$22:$Z$22,1,2*T!$A$4)</f>
        <v>7923.9100000000326</v>
      </c>
      <c r="I15" s="18">
        <f>G15+H15</f>
        <v>132373.08200000002</v>
      </c>
      <c r="J15" s="27"/>
      <c r="K15" s="37"/>
      <c r="L15" s="37"/>
      <c r="M15" s="37"/>
      <c r="N15" s="179"/>
      <c r="O15" s="179"/>
      <c r="P15" s="179"/>
      <c r="Q15" s="37"/>
    </row>
    <row r="16" spans="1:18" ht="15" customHeight="1" x14ac:dyDescent="0.2">
      <c r="A16" s="956"/>
      <c r="B16" s="957"/>
      <c r="C16" s="64" t="s">
        <v>165</v>
      </c>
      <c r="D16" s="448">
        <f>INDEX('[3]Poklady MZ'!$C$9:$Z$10,2,2*T!$A$4-1)</f>
        <v>1122</v>
      </c>
      <c r="E16" s="456">
        <v>0</v>
      </c>
      <c r="F16" s="452">
        <f>D16+E16</f>
        <v>1122</v>
      </c>
      <c r="G16" s="64">
        <f>INDEX('[3]Poklady MZ'!$C$9:$Z$10,2,2*T!$A$4)</f>
        <v>11753</v>
      </c>
      <c r="H16" s="456">
        <v>0</v>
      </c>
      <c r="I16" s="18">
        <f>G16+H16</f>
        <v>11753</v>
      </c>
      <c r="J16" s="27"/>
      <c r="K16" s="37"/>
      <c r="L16" s="37"/>
      <c r="M16" s="37"/>
      <c r="N16" s="179"/>
      <c r="O16" s="179"/>
      <c r="P16" s="179"/>
      <c r="Q16" s="37"/>
    </row>
    <row r="17" spans="1:17" ht="15" customHeight="1" x14ac:dyDescent="0.2">
      <c r="A17" s="952"/>
      <c r="B17" s="953"/>
      <c r="C17" s="463" t="s">
        <v>157</v>
      </c>
      <c r="D17" s="473">
        <f t="shared" ref="D17:I17" si="2">SUM(D15:D16)</f>
        <v>12527.120999999999</v>
      </c>
      <c r="E17" s="474">
        <f t="shared" si="2"/>
        <v>742.90700000000106</v>
      </c>
      <c r="F17" s="475">
        <f t="shared" si="2"/>
        <v>13270.028</v>
      </c>
      <c r="G17" s="473">
        <f t="shared" si="2"/>
        <v>136202.17199999999</v>
      </c>
      <c r="H17" s="474">
        <f t="shared" si="2"/>
        <v>7923.9100000000326</v>
      </c>
      <c r="I17" s="476">
        <f t="shared" si="2"/>
        <v>144126.08200000002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958" t="s">
        <v>84</v>
      </c>
      <c r="B18" s="959"/>
      <c r="C18" s="101"/>
      <c r="D18" s="145" t="s">
        <v>166</v>
      </c>
      <c r="E18" s="457" t="s">
        <v>167</v>
      </c>
      <c r="F18" s="146" t="s">
        <v>168</v>
      </c>
      <c r="G18" s="145" t="s">
        <v>166</v>
      </c>
      <c r="H18" s="457" t="s">
        <v>167</v>
      </c>
      <c r="I18" s="460" t="s">
        <v>168</v>
      </c>
      <c r="J18" s="27"/>
      <c r="K18" s="37"/>
      <c r="L18" s="37"/>
      <c r="M18" s="37"/>
      <c r="N18" s="179"/>
      <c r="O18" s="179"/>
      <c r="P18" s="179"/>
      <c r="Q18" s="37"/>
    </row>
    <row r="19" spans="1:17" ht="15" customHeight="1" x14ac:dyDescent="0.2">
      <c r="A19" s="960"/>
      <c r="B19" s="961"/>
      <c r="C19" s="102" t="s">
        <v>408</v>
      </c>
      <c r="D19" s="65">
        <f>-INDEX([2]DS!$B$56:$AK$58,1,3*T!$A$4-1)</f>
        <v>-9398.9050000000007</v>
      </c>
      <c r="E19" s="456">
        <v>0</v>
      </c>
      <c r="F19" s="452">
        <f>D19+E19</f>
        <v>-9398.9050000000007</v>
      </c>
      <c r="G19" s="448">
        <f>-INDEX([2]DS!$B$56:$AK$58,1,3*T!$A$4)</f>
        <v>-99851.035000000003</v>
      </c>
      <c r="H19" s="456">
        <v>0</v>
      </c>
      <c r="I19" s="18">
        <f>G19+H19</f>
        <v>-99851.035000000003</v>
      </c>
      <c r="J19" s="27"/>
      <c r="K19" s="37"/>
      <c r="L19" s="37"/>
      <c r="M19" s="37"/>
      <c r="N19" s="179"/>
      <c r="O19" s="179"/>
      <c r="P19" s="179"/>
      <c r="Q19" s="37"/>
    </row>
    <row r="20" spans="1:17" ht="15" customHeight="1" x14ac:dyDescent="0.2">
      <c r="A20" s="960"/>
      <c r="B20" s="961"/>
      <c r="C20" s="102" t="s">
        <v>169</v>
      </c>
      <c r="D20" s="448">
        <f>-INDEX([2]DS!$B$56:$AK$58,2,3*T!$A$4-1)</f>
        <v>-958987.6801371309</v>
      </c>
      <c r="E20" s="458">
        <f>-INDEX([2]DS!$B$60:$AK$60,1,3*T!$A$4-1)</f>
        <v>-19615.462064683976</v>
      </c>
      <c r="F20" s="452">
        <f t="shared" ref="F20:F22" si="3">D20+E20</f>
        <v>-978603.14220181492</v>
      </c>
      <c r="G20" s="66">
        <f>-INDEX([2]DS!$B$56:$AK$58,2,3*T!$A$4)</f>
        <v>-10197320.013350848</v>
      </c>
      <c r="H20" s="461">
        <f>-INDEX([2]DS!$B$60:$AK$60,1,3*T!$A$4)</f>
        <v>-208553.41603215213</v>
      </c>
      <c r="I20" s="18">
        <f t="shared" ref="I20:I22" si="4">G20+H20</f>
        <v>-10405873.429383</v>
      </c>
      <c r="J20" s="27"/>
      <c r="K20" s="37"/>
      <c r="L20" s="37"/>
      <c r="M20" s="37"/>
      <c r="N20" s="179"/>
      <c r="O20" s="179"/>
      <c r="P20" s="179"/>
      <c r="Q20" s="37"/>
    </row>
    <row r="21" spans="1:17" ht="15" customHeight="1" x14ac:dyDescent="0.2">
      <c r="A21" s="960"/>
      <c r="B21" s="961"/>
      <c r="C21" s="64" t="s">
        <v>170</v>
      </c>
      <c r="D21" s="448">
        <f>-INDEX([2]DS!$B$56:$AK$58,3,3*T!$A$4-1)</f>
        <v>-1122</v>
      </c>
      <c r="E21" s="458">
        <v>0</v>
      </c>
      <c r="F21" s="452">
        <f t="shared" si="3"/>
        <v>-1122</v>
      </c>
      <c r="G21" s="66">
        <f>-INDEX([2]DS!$B$56:$AK$58,3,3*T!$A$4)</f>
        <v>-11753</v>
      </c>
      <c r="H21" s="461">
        <v>0</v>
      </c>
      <c r="I21" s="18">
        <f t="shared" si="4"/>
        <v>-11753</v>
      </c>
      <c r="J21" s="27"/>
      <c r="K21" s="37"/>
      <c r="L21" s="37"/>
      <c r="M21" s="37"/>
      <c r="N21" s="179"/>
      <c r="O21" s="179"/>
      <c r="P21" s="179"/>
      <c r="Q21" s="37"/>
    </row>
    <row r="22" spans="1:17" ht="15" customHeight="1" x14ac:dyDescent="0.2">
      <c r="A22" s="960"/>
      <c r="B22" s="961"/>
      <c r="C22" s="64" t="s">
        <v>171</v>
      </c>
      <c r="D22" s="448">
        <v>0</v>
      </c>
      <c r="E22" s="458">
        <f>E15*-1</f>
        <v>-742.90700000000106</v>
      </c>
      <c r="F22" s="452">
        <f t="shared" si="3"/>
        <v>-742.90700000000106</v>
      </c>
      <c r="G22" s="66">
        <v>0</v>
      </c>
      <c r="H22" s="461">
        <f>H15*-1</f>
        <v>-7923.9100000000326</v>
      </c>
      <c r="I22" s="18">
        <f t="shared" si="4"/>
        <v>-7923.9100000000326</v>
      </c>
      <c r="J22" s="27"/>
      <c r="K22" s="37"/>
      <c r="L22" s="37"/>
      <c r="M22" s="37"/>
      <c r="N22" s="179"/>
      <c r="O22" s="179"/>
      <c r="P22" s="179"/>
      <c r="Q22" s="37"/>
    </row>
    <row r="23" spans="1:17" ht="15" customHeight="1" x14ac:dyDescent="0.2">
      <c r="A23" s="962"/>
      <c r="B23" s="963"/>
      <c r="C23" s="463" t="s">
        <v>157</v>
      </c>
      <c r="D23" s="477">
        <f>SUM(D19:D22)</f>
        <v>-969508.58513713093</v>
      </c>
      <c r="E23" s="478">
        <f t="shared" ref="E23:G23" si="5">SUM(E19:E22)</f>
        <v>-20358.369064683975</v>
      </c>
      <c r="F23" s="479">
        <f t="shared" si="5"/>
        <v>-989866.95420181495</v>
      </c>
      <c r="G23" s="477">
        <f t="shared" si="5"/>
        <v>-10308924.048350848</v>
      </c>
      <c r="H23" s="478">
        <f>SUM(H19:H22)</f>
        <v>-216477.32603215217</v>
      </c>
      <c r="I23" s="480">
        <f>SUM(I19:I22)</f>
        <v>-10525401.374383001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964" t="s">
        <v>10</v>
      </c>
      <c r="B24" s="965"/>
      <c r="C24" s="147" t="s">
        <v>172</v>
      </c>
      <c r="D24" s="148"/>
      <c r="E24" s="149"/>
      <c r="F24" s="150">
        <f>(F9+F13+F17+F23)*-1</f>
        <v>-12684.335349911707</v>
      </c>
      <c r="G24" s="151"/>
      <c r="H24" s="152"/>
      <c r="I24" s="153">
        <f>(I9+I13+I17+I23)*-1</f>
        <v>-129101.78731970489</v>
      </c>
      <c r="J24" s="27"/>
      <c r="K24" s="37"/>
      <c r="L24" s="37"/>
      <c r="M24" s="37"/>
      <c r="N24" s="179"/>
      <c r="O24" s="179"/>
      <c r="P24" s="179"/>
      <c r="Q24" s="37"/>
    </row>
    <row r="25" spans="1:17" ht="12" customHeight="1" x14ac:dyDescent="0.2">
      <c r="A25" s="31"/>
      <c r="B25" s="31"/>
      <c r="C25" s="154"/>
      <c r="D25" s="155"/>
      <c r="E25" s="30"/>
      <c r="F25" s="156"/>
      <c r="I25" s="10"/>
      <c r="J25" s="27"/>
      <c r="K25" s="27"/>
      <c r="L25" s="37"/>
      <c r="M25" s="179"/>
    </row>
    <row r="26" spans="1:17" ht="12" customHeight="1" x14ac:dyDescent="0.2">
      <c r="A26" s="31"/>
      <c r="B26" s="31"/>
      <c r="C26" s="481"/>
      <c r="E26" s="30"/>
      <c r="F26" s="30"/>
      <c r="G26" s="27"/>
      <c r="I26" s="184"/>
    </row>
    <row r="27" spans="1:17" ht="15" customHeight="1" x14ac:dyDescent="0.2">
      <c r="A27" s="31"/>
      <c r="B27" s="31"/>
      <c r="C27" s="481"/>
      <c r="E27" s="30" t="s">
        <v>173</v>
      </c>
      <c r="F27" s="157">
        <f>D9/1000</f>
        <v>2481.910466691224</v>
      </c>
      <c r="G27" s="140"/>
      <c r="I27" s="27"/>
    </row>
    <row r="28" spans="1:17" ht="15" customHeight="1" x14ac:dyDescent="0.2">
      <c r="A28" s="31"/>
      <c r="B28" s="31"/>
      <c r="C28" s="481"/>
      <c r="E28" s="30" t="s">
        <v>174</v>
      </c>
      <c r="F28" s="157">
        <f>E9/1000</f>
        <v>-2213.9183811394978</v>
      </c>
      <c r="G28" s="140"/>
    </row>
    <row r="29" spans="1:17" ht="15" customHeight="1" x14ac:dyDescent="0.2">
      <c r="A29" s="31"/>
      <c r="B29" s="31"/>
      <c r="C29" s="481"/>
      <c r="E29" s="30" t="s">
        <v>175</v>
      </c>
      <c r="F29" s="157">
        <f>D13/1000</f>
        <v>730.844382</v>
      </c>
      <c r="G29" s="140"/>
    </row>
    <row r="30" spans="1:17" ht="15" customHeight="1" x14ac:dyDescent="0.2">
      <c r="A30" s="966"/>
      <c r="B30" s="139"/>
      <c r="C30" s="481"/>
      <c r="E30" s="30" t="s">
        <v>176</v>
      </c>
      <c r="F30" s="157">
        <f>E13/1000</f>
        <v>-9.5552060000000001</v>
      </c>
      <c r="G30" s="140"/>
      <c r="L30" s="27"/>
    </row>
    <row r="31" spans="1:17" ht="15" customHeight="1" x14ac:dyDescent="0.2">
      <c r="A31" s="966"/>
      <c r="B31" s="139"/>
      <c r="C31" s="481"/>
      <c r="E31" s="30" t="s">
        <v>146</v>
      </c>
      <c r="F31" s="157">
        <f>F17/1000</f>
        <v>13.270028</v>
      </c>
      <c r="G31" s="140"/>
    </row>
    <row r="32" spans="1:17" ht="15" customHeight="1" x14ac:dyDescent="0.2">
      <c r="A32" s="19"/>
      <c r="B32" s="19"/>
      <c r="C32" s="481"/>
      <c r="E32" s="32" t="s">
        <v>10</v>
      </c>
      <c r="F32" s="157">
        <f>F24/1000</f>
        <v>-12.684335349911708</v>
      </c>
      <c r="G32" s="85"/>
    </row>
    <row r="33" spans="1:8" ht="15" customHeight="1" x14ac:dyDescent="0.2">
      <c r="A33" s="19"/>
      <c r="B33" s="19"/>
      <c r="C33" s="481"/>
      <c r="E33" s="33" t="s">
        <v>85</v>
      </c>
      <c r="F33" s="157">
        <f>F23/1000</f>
        <v>-989.86695420181491</v>
      </c>
      <c r="G33" s="85"/>
    </row>
    <row r="34" spans="1:8" ht="15" customHeight="1" x14ac:dyDescent="0.2">
      <c r="A34" s="19"/>
      <c r="B34" s="19"/>
      <c r="C34" s="482"/>
      <c r="D34" s="30"/>
      <c r="E34" s="12"/>
      <c r="F34" s="12"/>
    </row>
    <row r="35" spans="1:8" ht="15" customHeight="1" x14ac:dyDescent="0.2">
      <c r="A35" s="19"/>
      <c r="B35" s="19"/>
      <c r="C35" s="482"/>
      <c r="D35" s="30"/>
      <c r="E35" s="12"/>
      <c r="F35" s="12"/>
    </row>
    <row r="36" spans="1:8" ht="24" customHeight="1" x14ac:dyDescent="0.2">
      <c r="A36" s="19"/>
      <c r="B36" s="19"/>
      <c r="C36" s="482"/>
      <c r="D36" s="30"/>
      <c r="E36" s="12"/>
      <c r="F36" s="12"/>
    </row>
    <row r="37" spans="1:8" ht="15" customHeight="1" x14ac:dyDescent="0.2">
      <c r="A37" s="19"/>
      <c r="B37" s="19"/>
      <c r="C37" s="482"/>
      <c r="D37" s="30"/>
      <c r="E37" s="12"/>
      <c r="F37" s="12"/>
    </row>
    <row r="38" spans="1:8" ht="20.25" customHeight="1" x14ac:dyDescent="0.2">
      <c r="A38" s="947"/>
      <c r="B38" s="947"/>
      <c r="C38" s="947"/>
      <c r="D38" s="947"/>
      <c r="E38" s="947"/>
      <c r="F38" s="947"/>
      <c r="G38" s="947"/>
      <c r="H38" s="947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73" t="s">
        <v>70</v>
      </c>
      <c r="K1" s="973"/>
    </row>
    <row r="2" spans="1:17" ht="6.75" customHeight="1" x14ac:dyDescent="0.2"/>
    <row r="3" spans="1:17" ht="30" customHeight="1" x14ac:dyDescent="0.2">
      <c r="A3" s="981" t="s">
        <v>227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</row>
    <row r="4" spans="1:17" ht="16.5" customHeight="1" x14ac:dyDescent="0.2">
      <c r="B4" s="244"/>
      <c r="C4" s="244"/>
      <c r="D4" s="980" t="str">
        <f>T!G19</f>
        <v>Únor</v>
      </c>
      <c r="E4" s="980"/>
      <c r="F4" s="225">
        <f>T!I21</f>
        <v>2015</v>
      </c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83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D4</f>
        <v>Únor</v>
      </c>
      <c r="F7" s="267">
        <f>F4</f>
        <v>2015</v>
      </c>
      <c r="G7" s="267"/>
      <c r="H7" s="984"/>
      <c r="I7" s="282" t="str">
        <f>D4</f>
        <v>Únor</v>
      </c>
      <c r="J7" s="262">
        <f>F4-1</f>
        <v>2014</v>
      </c>
      <c r="K7" s="276"/>
    </row>
    <row r="8" spans="1:17" ht="14.1" customHeight="1" x14ac:dyDescent="0.2">
      <c r="A8" s="280"/>
      <c r="B8" s="978" t="s">
        <v>93</v>
      </c>
      <c r="C8" s="978"/>
      <c r="D8" s="969" t="s">
        <v>0</v>
      </c>
      <c r="E8" s="971" t="s">
        <v>71</v>
      </c>
      <c r="F8" s="939"/>
      <c r="G8" s="333" t="s">
        <v>226</v>
      </c>
      <c r="H8" s="984"/>
      <c r="I8" s="972" t="s">
        <v>71</v>
      </c>
      <c r="J8" s="939"/>
      <c r="K8" s="351" t="s">
        <v>226</v>
      </c>
    </row>
    <row r="9" spans="1:17" ht="14.1" customHeight="1" x14ac:dyDescent="0.2">
      <c r="A9" s="252"/>
      <c r="B9" s="979"/>
      <c r="C9" s="979"/>
      <c r="D9" s="970"/>
      <c r="E9" s="268" t="s">
        <v>15</v>
      </c>
      <c r="F9" s="268" t="s">
        <v>1</v>
      </c>
      <c r="G9" s="334" t="s">
        <v>128</v>
      </c>
      <c r="H9" s="985"/>
      <c r="I9" s="283" t="s">
        <v>15</v>
      </c>
      <c r="J9" s="268" t="s">
        <v>1</v>
      </c>
      <c r="K9" s="352" t="s">
        <v>128</v>
      </c>
    </row>
    <row r="10" spans="1:17" ht="14.45" customHeight="1" x14ac:dyDescent="0.2">
      <c r="A10" s="986" t="s">
        <v>4</v>
      </c>
      <c r="B10" s="986"/>
      <c r="C10" s="239"/>
      <c r="D10" s="240"/>
      <c r="E10" s="239"/>
      <c r="F10" s="239"/>
      <c r="G10" s="335"/>
      <c r="H10" s="317"/>
      <c r="I10" s="284"/>
      <c r="J10" s="239"/>
      <c r="K10" s="353"/>
    </row>
    <row r="11" spans="1:17" ht="14.45" customHeight="1" x14ac:dyDescent="0.2">
      <c r="A11" s="97"/>
      <c r="B11" s="97"/>
      <c r="C11" s="259" t="s">
        <v>6</v>
      </c>
      <c r="D11" s="247">
        <f>INDEX([2]DS!B36:AK36,1,3*T!$A$4-2)</f>
        <v>1592</v>
      </c>
      <c r="E11" s="98">
        <f>INDEX([2]DS!C36:AL36,1,3*T!$A$4-2)</f>
        <v>353339.78032210236</v>
      </c>
      <c r="F11" s="98">
        <f>INDEX([2]DS!D36:AM36,1,3*T!$A$4-2)</f>
        <v>3757396.2138940003</v>
      </c>
      <c r="G11" s="336">
        <f>E11/$E$17</f>
        <v>0.35695684033317382</v>
      </c>
      <c r="H11" s="318">
        <f>(E11-I11)/I11</f>
        <v>8.1772513879623282E-2</v>
      </c>
      <c r="I11" s="285">
        <f>INDEX([4]DS!C36:AL36,1,3*T!$A$4-2)</f>
        <v>326630.39205433265</v>
      </c>
      <c r="J11" s="98">
        <f>INDEX([4]DS!D36:AM36,1,3*T!$A$4-2)</f>
        <v>3473351.2365840003</v>
      </c>
      <c r="K11" s="354">
        <f>I11/$I$17</f>
        <v>0.36489229462685102</v>
      </c>
    </row>
    <row r="12" spans="1:17" ht="14.45" customHeight="1" x14ac:dyDescent="0.2">
      <c r="A12" s="97"/>
      <c r="B12" s="97"/>
      <c r="C12" s="259" t="s">
        <v>7</v>
      </c>
      <c r="D12" s="247">
        <f>INDEX([2]DS!B37:AK37,1,3*T!$A$4-2)</f>
        <v>6843</v>
      </c>
      <c r="E12" s="98">
        <f>INDEX([2]DS!C37:AL37,1,3*T!$A$4-2)</f>
        <v>101468.19909431995</v>
      </c>
      <c r="F12" s="98">
        <f>INDEX([2]DS!D37:AM37,1,3*T!$A$4-2)</f>
        <v>1078717.8574569998</v>
      </c>
      <c r="G12" s="336">
        <f t="shared" ref="G12:G16" si="0">E12/$E$17</f>
        <v>0.10250690627018601</v>
      </c>
      <c r="H12" s="318">
        <f>(E12-I12)/I12</f>
        <v>0.12814639439563866</v>
      </c>
      <c r="I12" s="285">
        <f>INDEX([4]DS!C37:AL37,1,3*T!$A$4-2)</f>
        <v>89942.404282271949</v>
      </c>
      <c r="J12" s="98">
        <f>INDEX([4]DS!D37:AM37,1,3*T!$A$4-2)</f>
        <v>955754.35932999989</v>
      </c>
      <c r="K12" s="354">
        <f t="shared" ref="K12:K16" si="1">I12/$I$17</f>
        <v>0.10047837274540843</v>
      </c>
      <c r="L12" s="286"/>
      <c r="M12" s="286"/>
      <c r="O12" s="286"/>
      <c r="P12" s="286"/>
      <c r="Q12" s="286"/>
    </row>
    <row r="13" spans="1:17" ht="14.45" customHeight="1" x14ac:dyDescent="0.2">
      <c r="A13" s="294"/>
      <c r="B13" s="270"/>
      <c r="C13" s="259" t="s">
        <v>8</v>
      </c>
      <c r="D13" s="247">
        <f>INDEX([2]DS!B38:AK38,1,3*T!$A$4-2)</f>
        <v>197876</v>
      </c>
      <c r="E13" s="98">
        <f>INDEX([2]DS!C38:AL38,1,3*T!$A$4-2)</f>
        <v>168977.67665120313</v>
      </c>
      <c r="F13" s="98">
        <f>INDEX([2]DS!D38:AM38,1,3*T!$A$4-2)</f>
        <v>1796596.5963848589</v>
      </c>
      <c r="G13" s="336">
        <f>E13/$E$17</f>
        <v>0.17070746319383828</v>
      </c>
      <c r="H13" s="318">
        <f t="shared" ref="H13:H17" si="2">(E13-I13)/I13</f>
        <v>0.12092722014877948</v>
      </c>
      <c r="I13" s="285">
        <f>INDEX([4]DS!C38:AL38,1,3*T!$A$4-2)</f>
        <v>150748.12495745701</v>
      </c>
      <c r="J13" s="98">
        <f>INDEX([4]DS!D38:AM38,1,3*T!$A$4-2)</f>
        <v>1602477.8690126571</v>
      </c>
      <c r="K13" s="354">
        <f t="shared" si="1"/>
        <v>0.1684069534388942</v>
      </c>
      <c r="L13" s="286"/>
      <c r="M13" s="286"/>
      <c r="O13" s="286"/>
      <c r="P13" s="286"/>
      <c r="Q13" s="286"/>
    </row>
    <row r="14" spans="1:17" ht="14.45" customHeight="1" x14ac:dyDescent="0.2">
      <c r="A14" s="294"/>
      <c r="B14" s="270"/>
      <c r="C14" s="259" t="s">
        <v>9</v>
      </c>
      <c r="D14" s="247">
        <f>INDEX([2]DS!B39:AK39,1,3*T!$A$4-2)</f>
        <v>2642487</v>
      </c>
      <c r="E14" s="98">
        <f>INDEX([2]DS!C39:AL39,1,3*T!$A$4-2)</f>
        <v>345722.92906950554</v>
      </c>
      <c r="F14" s="98">
        <f>INDEX([2]DS!D39:AM39,1,3*T!$A$4-2)</f>
        <v>3676213.3806149885</v>
      </c>
      <c r="G14" s="336">
        <f t="shared" si="0"/>
        <v>0.34926201708418608</v>
      </c>
      <c r="H14" s="318">
        <f t="shared" si="2"/>
        <v>0.12813647045943757</v>
      </c>
      <c r="I14" s="285">
        <f>INDEX([4]DS!C39:AL39,1,3*T!$A$4-2)</f>
        <v>306454.88211963279</v>
      </c>
      <c r="J14" s="98">
        <f>INDEX([4]DS!D39:AM39,1,3*T!$A$4-2)</f>
        <v>3258471.9739876087</v>
      </c>
      <c r="K14" s="354">
        <f t="shared" si="1"/>
        <v>0.34235339961148803</v>
      </c>
      <c r="L14" s="286"/>
      <c r="M14" s="286"/>
      <c r="O14" s="286"/>
      <c r="P14" s="286"/>
      <c r="Q14" s="286"/>
    </row>
    <row r="15" spans="1:17" ht="14.45" customHeight="1" x14ac:dyDescent="0.2">
      <c r="A15" s="294"/>
      <c r="B15" s="270"/>
      <c r="C15" s="260" t="s">
        <v>222</v>
      </c>
      <c r="D15" s="248">
        <f>SUM(D11:D14)</f>
        <v>2848798</v>
      </c>
      <c r="E15" s="246">
        <f t="shared" ref="E15:F15" si="3">SUM(E11:E14)</f>
        <v>969508.58513713093</v>
      </c>
      <c r="F15" s="263">
        <f t="shared" si="3"/>
        <v>10308924.048350848</v>
      </c>
      <c r="G15" s="337">
        <f t="shared" si="0"/>
        <v>0.97943322688138412</v>
      </c>
      <c r="H15" s="319">
        <f t="shared" si="2"/>
        <v>0.10956217985142713</v>
      </c>
      <c r="I15" s="287">
        <f t="shared" ref="I15:J15" si="4">SUM(I11:I14)</f>
        <v>873775.80341369449</v>
      </c>
      <c r="J15" s="263">
        <f t="shared" si="4"/>
        <v>9290055.4389142673</v>
      </c>
      <c r="K15" s="355">
        <f>I15/$I$17</f>
        <v>0.97613102042264177</v>
      </c>
      <c r="L15" s="286"/>
      <c r="M15" s="286"/>
      <c r="O15" s="286"/>
      <c r="P15" s="286"/>
      <c r="Q15" s="286"/>
    </row>
    <row r="16" spans="1:17" ht="14.45" customHeight="1" x14ac:dyDescent="0.2">
      <c r="A16" s="294"/>
      <c r="B16" s="270"/>
      <c r="C16" s="259" t="s">
        <v>179</v>
      </c>
      <c r="D16" s="247"/>
      <c r="E16" s="98">
        <f>INDEX([2]DS!B40:AK40,1,3*T!$A$4-1)</f>
        <v>20358.369064683975</v>
      </c>
      <c r="F16" s="98">
        <f>INDEX([2]DS!C40:AL40,1,3*T!$A$4-1)</f>
        <v>216477.32603215217</v>
      </c>
      <c r="G16" s="336">
        <f t="shared" si="0"/>
        <v>2.0566773118615791E-2</v>
      </c>
      <c r="H16" s="318">
        <f t="shared" si="2"/>
        <v>-4.7166033035247593E-2</v>
      </c>
      <c r="I16" s="285">
        <f>INDEX([4]DS!C40:AL40,1,3*T!$A$4-2)</f>
        <v>21366.124393671074</v>
      </c>
      <c r="J16" s="98">
        <f>INDEX([4]DS!D40:AM40,1,3*T!$A$4-2)</f>
        <v>228192.63881999999</v>
      </c>
      <c r="K16" s="354">
        <f t="shared" si="1"/>
        <v>2.3868979577358219E-2</v>
      </c>
      <c r="L16" s="286"/>
      <c r="M16" s="286"/>
      <c r="O16" s="286"/>
      <c r="P16" s="286"/>
      <c r="Q16" s="286"/>
    </row>
    <row r="17" spans="1:16" ht="14.45" customHeight="1" x14ac:dyDescent="0.2">
      <c r="A17" s="294"/>
      <c r="B17" s="270"/>
      <c r="C17" s="261" t="s">
        <v>2</v>
      </c>
      <c r="D17" s="255">
        <f>D15</f>
        <v>2848798</v>
      </c>
      <c r="E17" s="253">
        <f>SUM(E15:E16)</f>
        <v>989866.95420181495</v>
      </c>
      <c r="F17" s="254">
        <f>SUM(F15:F16)</f>
        <v>10525401.374383001</v>
      </c>
      <c r="G17" s="338">
        <f>SUM(G15:G16)</f>
        <v>0.99999999999999989</v>
      </c>
      <c r="H17" s="320">
        <f t="shared" si="2"/>
        <v>0.10582123733883933</v>
      </c>
      <c r="I17" s="288">
        <f>SUM(I15:I16)</f>
        <v>895141.92780736554</v>
      </c>
      <c r="J17" s="254">
        <f>SUM(J15:J16)</f>
        <v>9518248.0777342673</v>
      </c>
      <c r="K17" s="356">
        <f>SUM(K15:K16)</f>
        <v>1</v>
      </c>
      <c r="L17" s="286"/>
      <c r="M17" s="286"/>
    </row>
    <row r="18" spans="1:16" ht="14.45" customHeight="1" x14ac:dyDescent="0.2">
      <c r="A18" s="294"/>
      <c r="B18" s="271"/>
      <c r="C18" s="295"/>
      <c r="D18" s="296"/>
      <c r="E18" s="295"/>
      <c r="F18" s="295"/>
      <c r="G18" s="339"/>
      <c r="H18" s="321"/>
      <c r="I18" s="297"/>
      <c r="J18" s="298"/>
      <c r="K18" s="357"/>
      <c r="L18" s="286"/>
      <c r="M18" s="286"/>
    </row>
    <row r="19" spans="1:16" ht="14.45" customHeight="1" x14ac:dyDescent="0.2">
      <c r="A19" s="982" t="s">
        <v>11</v>
      </c>
      <c r="B19" s="982"/>
      <c r="C19" s="982"/>
      <c r="D19" s="299"/>
      <c r="E19" s="176"/>
      <c r="F19" s="176"/>
      <c r="G19" s="340"/>
      <c r="H19" s="322"/>
      <c r="I19" s="300"/>
      <c r="J19" s="301"/>
      <c r="K19" s="358"/>
      <c r="L19" s="286"/>
      <c r="M19" s="286"/>
    </row>
    <row r="20" spans="1:16" ht="14.45" customHeight="1" x14ac:dyDescent="0.2">
      <c r="A20" s="97"/>
      <c r="B20" s="97"/>
      <c r="C20" s="259" t="s">
        <v>6</v>
      </c>
      <c r="D20" s="247">
        <f>INDEX([2]DS!B3:AK3,1,3*T!$A$4-2)</f>
        <v>183</v>
      </c>
      <c r="E20" s="90">
        <f>INDEX([2]DS!C3:AL3,1,3*T!$A$4-2)</f>
        <v>28997.952322102396</v>
      </c>
      <c r="F20" s="98">
        <f>INDEX([2]DS!D3:AM3,1,3*T!$A$4-2)</f>
        <v>307775.07500000001</v>
      </c>
      <c r="G20" s="341">
        <f>E20/$E$26</f>
        <v>0.22814722802827686</v>
      </c>
      <c r="H20" s="323">
        <f>(E20-I20)/I20</f>
        <v>8.0450482173847288E-2</v>
      </c>
      <c r="I20" s="302">
        <f>INDEX([4]DS!C3:AL3,1,3*T!$A$4-2)</f>
        <v>26838.761054332659</v>
      </c>
      <c r="J20" s="303">
        <f>INDEX([4]DS!D3:AM3,1,3*T!$A$4-2)</f>
        <v>284039.321</v>
      </c>
      <c r="K20" s="354">
        <f>I20/$I$26</f>
        <v>0.23779526408628224</v>
      </c>
      <c r="L20" s="286"/>
      <c r="M20" s="286"/>
      <c r="N20" s="286"/>
    </row>
    <row r="21" spans="1:16" ht="14.45" customHeight="1" x14ac:dyDescent="0.2">
      <c r="A21" s="97"/>
      <c r="B21" s="97"/>
      <c r="C21" s="259" t="s">
        <v>7</v>
      </c>
      <c r="D21" s="247">
        <f>INDEX([2]DS!B4:AK4,1,3*T!$A$4-2)</f>
        <v>1617</v>
      </c>
      <c r="E21" s="90">
        <f>INDEX([2]DS!C4:AL4,1,3*T!$A$4-2)</f>
        <v>23382.232094319937</v>
      </c>
      <c r="F21" s="98">
        <f>INDEX([2]DS!D4:AM4,1,3*T!$A$4-2)</f>
        <v>248156.929</v>
      </c>
      <c r="G21" s="341">
        <f>E21/$E$26</f>
        <v>0.1839644185278162</v>
      </c>
      <c r="H21" s="323">
        <f t="shared" ref="H21:H23" si="5">(E21-I21)/I21</f>
        <v>0.13602282233976129</v>
      </c>
      <c r="I21" s="302">
        <f>INDEX([4]DS!C4:AL4,1,3*T!$A$4-2)</f>
        <v>20582.537282271947</v>
      </c>
      <c r="J21" s="303">
        <f>INDEX([4]DS!D4:AM4,1,3*T!$A$4-2)</f>
        <v>217828.606</v>
      </c>
      <c r="K21" s="354">
        <f t="shared" ref="K21:K25" si="6">I21/$I$26</f>
        <v>0.18236422607941083</v>
      </c>
      <c r="L21" s="289"/>
      <c r="M21" s="289"/>
      <c r="N21" s="286"/>
    </row>
    <row r="22" spans="1:16" ht="14.45" customHeight="1" x14ac:dyDescent="0.2">
      <c r="A22" s="294"/>
      <c r="B22" s="975"/>
      <c r="C22" s="259" t="s">
        <v>8</v>
      </c>
      <c r="D22" s="247">
        <f>INDEX([2]DS!B5:AK5,1,3*T!$A$4-2)</f>
        <v>38945</v>
      </c>
      <c r="E22" s="90">
        <f>INDEX([2]DS!C5:AL5,1,3*T!$A$4-2)</f>
        <v>29231.574355203127</v>
      </c>
      <c r="F22" s="98">
        <f>INDEX([2]DS!D5:AM5,1,3*T!$A$4-2)</f>
        <v>310236.32357085904</v>
      </c>
      <c r="G22" s="341">
        <f>E22/$E$26</f>
        <v>0.22998529640863064</v>
      </c>
      <c r="H22" s="323">
        <f t="shared" si="5"/>
        <v>0.15249882988632518</v>
      </c>
      <c r="I22" s="302">
        <f>INDEX([4]DS!C5:AL5,1,3*T!$A$4-2)</f>
        <v>25363.647751457011</v>
      </c>
      <c r="J22" s="303">
        <f>INDEX([4]DS!D5:AM5,1,3*T!$A$4-2)</f>
        <v>268427.93757665722</v>
      </c>
      <c r="K22" s="354">
        <f t="shared" si="6"/>
        <v>0.22472554910560968</v>
      </c>
      <c r="L22" s="286"/>
      <c r="M22" s="286"/>
      <c r="N22" s="286"/>
      <c r="O22" s="286"/>
      <c r="P22" s="286"/>
    </row>
    <row r="23" spans="1:16" ht="14.45" customHeight="1" x14ac:dyDescent="0.2">
      <c r="A23" s="294"/>
      <c r="B23" s="975"/>
      <c r="C23" s="259" t="s">
        <v>9</v>
      </c>
      <c r="D23" s="247">
        <f>INDEX([2]DS!B6:AK6,1,3*T!$A$4-2)</f>
        <v>390079</v>
      </c>
      <c r="E23" s="90">
        <f>INDEX([2]DS!C6:AL6,1,3*T!$A$4-2)</f>
        <v>42638.932365505483</v>
      </c>
      <c r="F23" s="98">
        <f>INDEX([2]DS!D6:AM6,1,3*T!$A$4-2)</f>
        <v>452529.35942898894</v>
      </c>
      <c r="G23" s="341">
        <f t="shared" ref="G23:G25" si="7">E23/$E$26</f>
        <v>0.33547038484715885</v>
      </c>
      <c r="H23" s="323">
        <f t="shared" si="5"/>
        <v>0.13629259679612346</v>
      </c>
      <c r="I23" s="302">
        <f>INDEX([4]DS!C6:AL6,1,3*T!$A$4-2)</f>
        <v>37524.606325632754</v>
      </c>
      <c r="J23" s="303">
        <f>INDEX([4]DS!D6:AM6,1,3*T!$A$4-2)</f>
        <v>397129.49742360949</v>
      </c>
      <c r="K23" s="354">
        <f t="shared" si="6"/>
        <v>0.3324733825407758</v>
      </c>
      <c r="L23" s="286"/>
      <c r="M23" s="286"/>
      <c r="N23" s="286"/>
      <c r="O23" s="286"/>
      <c r="P23" s="286"/>
    </row>
    <row r="24" spans="1:16" ht="14.45" customHeight="1" x14ac:dyDescent="0.2">
      <c r="A24" s="294"/>
      <c r="B24" s="975"/>
      <c r="C24" s="260" t="s">
        <v>222</v>
      </c>
      <c r="D24" s="248">
        <f>SUM(D20:D23)</f>
        <v>430824</v>
      </c>
      <c r="E24" s="246">
        <f>SUM(E20:E23)</f>
        <v>124250.69113713095</v>
      </c>
      <c r="F24" s="263">
        <f>SUM(F20:F23)</f>
        <v>1318697.6869998479</v>
      </c>
      <c r="G24" s="342">
        <f t="shared" si="7"/>
        <v>0.9775673278118826</v>
      </c>
      <c r="H24" s="324">
        <f>(E24-I24)/I24</f>
        <v>0.12638197162792444</v>
      </c>
      <c r="I24" s="304">
        <f>SUM(I20:I23)</f>
        <v>110309.55241369439</v>
      </c>
      <c r="J24" s="305">
        <f>SUM(J20:J23)</f>
        <v>1167425.3620002668</v>
      </c>
      <c r="K24" s="355">
        <f t="shared" si="6"/>
        <v>0.97735842181207866</v>
      </c>
      <c r="L24" s="286"/>
      <c r="M24" s="286"/>
      <c r="N24" s="286"/>
      <c r="O24" s="286"/>
      <c r="P24" s="286"/>
    </row>
    <row r="25" spans="1:16" ht="14.45" customHeight="1" x14ac:dyDescent="0.2">
      <c r="A25" s="294"/>
      <c r="B25" s="975"/>
      <c r="C25" s="242" t="s">
        <v>120</v>
      </c>
      <c r="D25" s="251"/>
      <c r="E25" s="175">
        <f>INDEX([2]DS!C7:AL7,1,3*T!$A$4-2)</f>
        <v>2851.2358628690235</v>
      </c>
      <c r="F25" s="175">
        <f>INDEX([2]DS!D7:AM7,1,3*T!$A$4-2)</f>
        <v>30242.109292152119</v>
      </c>
      <c r="G25" s="341">
        <f t="shared" si="7"/>
        <v>2.243267218811737E-2</v>
      </c>
      <c r="H25" s="325">
        <f>(E25-I25)/I25</f>
        <v>0.1157507485674488</v>
      </c>
      <c r="I25" s="300">
        <f>INDEX([4]DS!C7:AL7,1,3*T!$A$4-2)</f>
        <v>2555.44158633084</v>
      </c>
      <c r="J25" s="301">
        <f>INDEX([4]DS!D7:AM7,1,3*T!$A$4-2)</f>
        <v>27044.686999999998</v>
      </c>
      <c r="K25" s="354">
        <f t="shared" si="6"/>
        <v>2.2641578187921303E-2</v>
      </c>
      <c r="L25" s="286"/>
      <c r="M25" s="286"/>
      <c r="N25" s="286"/>
      <c r="O25" s="286"/>
      <c r="P25" s="286"/>
    </row>
    <row r="26" spans="1:16" ht="14.45" customHeight="1" x14ac:dyDescent="0.2">
      <c r="A26" s="294"/>
      <c r="B26" s="975"/>
      <c r="C26" s="261" t="s">
        <v>2</v>
      </c>
      <c r="D26" s="255">
        <f>D24</f>
        <v>430824</v>
      </c>
      <c r="E26" s="254">
        <f>SUM(E24:E25)</f>
        <v>127101.92699999998</v>
      </c>
      <c r="F26" s="254">
        <f>SUM(F24:F25)</f>
        <v>1348939.796292</v>
      </c>
      <c r="G26" s="343">
        <f>SUM(G24:G25)</f>
        <v>1</v>
      </c>
      <c r="H26" s="326">
        <f>(E26-I26)/I26</f>
        <v>0.12614126395976749</v>
      </c>
      <c r="I26" s="306">
        <f>SUM(I24:I25)</f>
        <v>112864.99400002522</v>
      </c>
      <c r="J26" s="307">
        <f>SUM(J24:J25)</f>
        <v>1194470.0490002667</v>
      </c>
      <c r="K26" s="356">
        <f>SUM(K24:K25)</f>
        <v>1</v>
      </c>
      <c r="L26" s="286"/>
      <c r="M26" s="286"/>
      <c r="N26" s="286"/>
      <c r="O26" s="286"/>
      <c r="P26" s="286"/>
    </row>
    <row r="27" spans="1:16" ht="14.45" customHeight="1" x14ac:dyDescent="0.2">
      <c r="A27" s="308"/>
      <c r="B27" s="987"/>
      <c r="C27" s="295"/>
      <c r="D27" s="296"/>
      <c r="E27" s="295"/>
      <c r="F27" s="295"/>
      <c r="G27" s="339"/>
      <c r="H27" s="321"/>
      <c r="I27" s="297"/>
      <c r="J27" s="298"/>
      <c r="K27" s="357"/>
      <c r="L27" s="289"/>
      <c r="N27" s="286"/>
      <c r="O27" s="286"/>
      <c r="P27" s="286"/>
    </row>
    <row r="28" spans="1:16" ht="14.45" customHeight="1" x14ac:dyDescent="0.2">
      <c r="A28" s="967" t="s">
        <v>12</v>
      </c>
      <c r="B28" s="967"/>
      <c r="C28" s="309"/>
      <c r="D28" s="310"/>
      <c r="E28" s="309"/>
      <c r="F28" s="309"/>
      <c r="G28" s="344"/>
      <c r="H28" s="327"/>
      <c r="I28" s="300"/>
      <c r="J28" s="301"/>
      <c r="K28" s="359"/>
      <c r="L28" s="289"/>
      <c r="N28" s="286"/>
      <c r="O28" s="286"/>
      <c r="P28" s="286"/>
    </row>
    <row r="29" spans="1:16" ht="14.45" customHeight="1" x14ac:dyDescent="0.2">
      <c r="A29" s="968"/>
      <c r="B29" s="968"/>
      <c r="C29" s="259" t="s">
        <v>6</v>
      </c>
      <c r="D29" s="247">
        <f>INDEX([2]DS!B10:AK10,1,3*T!$A$4-2)</f>
        <v>1259</v>
      </c>
      <c r="E29" s="90">
        <f>INDEX([2]DS!C10:AL10,1,3*T!$A$4-2)</f>
        <v>301747.69999999995</v>
      </c>
      <c r="F29" s="98">
        <f>INDEX([2]DS!D10:AM10,1,3*T!$A$4-2)</f>
        <v>3209813.0848940001</v>
      </c>
      <c r="G29" s="336">
        <f>E29/$E$35</f>
        <v>0.37191477845288928</v>
      </c>
      <c r="H29" s="318">
        <f>(E29-I29)/I29</f>
        <v>6.778797939356962E-2</v>
      </c>
      <c r="I29" s="302">
        <f>INDEX([4]DS!C10:AL10,1,3*T!$A$4-2)</f>
        <v>282591.39999999997</v>
      </c>
      <c r="J29" s="303">
        <f>INDEX([4]DS!D10:AM10,1,3*T!$A$4-2)</f>
        <v>3006373.2035840005</v>
      </c>
      <c r="K29" s="354">
        <f>I29/$I$35</f>
        <v>0.3841039159364022</v>
      </c>
    </row>
    <row r="30" spans="1:16" ht="14.45" customHeight="1" x14ac:dyDescent="0.2">
      <c r="A30" s="968"/>
      <c r="B30" s="968"/>
      <c r="C30" s="259" t="s">
        <v>7</v>
      </c>
      <c r="D30" s="247">
        <f>INDEX([2]DS!B11:AK11,1,3*T!$A$4-2)</f>
        <v>4872</v>
      </c>
      <c r="E30" s="90">
        <f>INDEX([2]DS!C11:AL11,1,3*T!$A$4-2)</f>
        <v>75335.500000000015</v>
      </c>
      <c r="F30" s="98">
        <f>INDEX([2]DS!D11:AM11,1,3*T!$A$4-2)</f>
        <v>801374.53345699981</v>
      </c>
      <c r="G30" s="336">
        <f t="shared" ref="G30:G34" si="8">E30/$E$35</f>
        <v>9.2853684691341976E-2</v>
      </c>
      <c r="H30" s="318">
        <f t="shared" ref="H30:H32" si="9">(E30-I30)/I30</f>
        <v>0.12988448513244796</v>
      </c>
      <c r="I30" s="302">
        <f>INDEX([4]DS!C11:AL11,1,3*T!$A$4-2)</f>
        <v>66675.399999999994</v>
      </c>
      <c r="J30" s="303">
        <f>INDEX([4]DS!D11:AM11,1,3*T!$A$4-2)</f>
        <v>709330.58732999989</v>
      </c>
      <c r="K30" s="354">
        <f t="shared" ref="K30:K34" si="10">I30/$I$35</f>
        <v>9.0626545028001534E-2</v>
      </c>
    </row>
    <row r="31" spans="1:16" ht="14.45" customHeight="1" x14ac:dyDescent="0.2">
      <c r="A31" s="294"/>
      <c r="B31" s="294"/>
      <c r="C31" s="259" t="s">
        <v>8</v>
      </c>
      <c r="D31" s="247">
        <f>INDEX([2]DS!B12:AK12,1,3*T!$A$4-2)</f>
        <v>150937</v>
      </c>
      <c r="E31" s="90">
        <f>INDEX([2]DS!C12:AL12,1,3*T!$A$4-2)</f>
        <v>131811.43100000001</v>
      </c>
      <c r="F31" s="98">
        <f>INDEX([2]DS!D12:AM12,1,3*T!$A$4-2)</f>
        <v>1402131.007</v>
      </c>
      <c r="G31" s="336">
        <f t="shared" si="8"/>
        <v>0.16246227944048394</v>
      </c>
      <c r="H31" s="318">
        <f t="shared" si="9"/>
        <v>0.11356537865585048</v>
      </c>
      <c r="I31" s="302">
        <f>INDEX([4]DS!C12:AL12,1,3*T!$A$4-2)</f>
        <v>118368.83000000002</v>
      </c>
      <c r="J31" s="303">
        <f>INDEX([4]DS!D12:AM12,1,3*T!$A$4-2)</f>
        <v>1259278.27</v>
      </c>
      <c r="K31" s="354">
        <f t="shared" si="10"/>
        <v>0.16088929503095387</v>
      </c>
    </row>
    <row r="32" spans="1:16" ht="14.45" customHeight="1" x14ac:dyDescent="0.2">
      <c r="A32" s="294"/>
      <c r="B32" s="294"/>
      <c r="C32" s="259" t="s">
        <v>9</v>
      </c>
      <c r="D32" s="247">
        <f>INDEX([2]DS!B13:AK13,1,3*T!$A$4-2)</f>
        <v>2146622</v>
      </c>
      <c r="E32" s="90">
        <f>INDEX([2]DS!C13:AL13,1,3*T!$A$4-2)</f>
        <v>286477.90000000002</v>
      </c>
      <c r="F32" s="98">
        <f>INDEX([2]DS!D13:AM13,1,3*T!$A$4-2)</f>
        <v>3047380.3</v>
      </c>
      <c r="G32" s="336">
        <f t="shared" si="8"/>
        <v>0.35309420655119822</v>
      </c>
      <c r="H32" s="318">
        <f t="shared" si="9"/>
        <v>0.12682764697090079</v>
      </c>
      <c r="I32" s="302">
        <f>INDEX([4]DS!C13:AL13,1,3*T!$A$4-2)</f>
        <v>254234.00000000003</v>
      </c>
      <c r="J32" s="303">
        <f>INDEX([4]DS!D13:AM13,1,3*T!$A$4-2)</f>
        <v>2704691.4999999995</v>
      </c>
      <c r="K32" s="354">
        <f t="shared" si="10"/>
        <v>0.34555996737400818</v>
      </c>
    </row>
    <row r="33" spans="1:11" ht="14.45" customHeight="1" x14ac:dyDescent="0.2">
      <c r="A33" s="294"/>
      <c r="B33" s="294"/>
      <c r="C33" s="260" t="s">
        <v>222</v>
      </c>
      <c r="D33" s="248">
        <f>SUM(D29:D32)</f>
        <v>2303690</v>
      </c>
      <c r="E33" s="246">
        <f>SUM(E29:E32)</f>
        <v>795372.53099999996</v>
      </c>
      <c r="F33" s="263">
        <f>SUM(F29:F32)</f>
        <v>8460698.9253509995</v>
      </c>
      <c r="G33" s="337">
        <f t="shared" si="8"/>
        <v>0.98032494913591339</v>
      </c>
      <c r="H33" s="319">
        <f>(E33-I33)/I33</f>
        <v>0.10182295797649771</v>
      </c>
      <c r="I33" s="304">
        <f>SUM(I29:I32)</f>
        <v>721869.63</v>
      </c>
      <c r="J33" s="305">
        <f>SUM(J29:J32)</f>
        <v>7679673.5609140005</v>
      </c>
      <c r="K33" s="355">
        <f t="shared" si="10"/>
        <v>0.98117972336936576</v>
      </c>
    </row>
    <row r="34" spans="1:11" ht="14.45" customHeight="1" x14ac:dyDescent="0.2">
      <c r="A34" s="294"/>
      <c r="B34" s="294"/>
      <c r="C34" s="242" t="s">
        <v>120</v>
      </c>
      <c r="D34" s="251"/>
      <c r="E34" s="175">
        <f>INDEX([2]DS!C14:AL14,1,3*T!$A$4-2)</f>
        <v>15963.069201814953</v>
      </c>
      <c r="F34" s="175">
        <f>INDEX([2]DS!D14:AM14,1,3*T!$A$4-2)</f>
        <v>169805.61574000004</v>
      </c>
      <c r="G34" s="336">
        <f t="shared" si="8"/>
        <v>1.9675050864086618E-2</v>
      </c>
      <c r="H34" s="328">
        <f>(E34-I34)/I34</f>
        <v>0.15286960034291555</v>
      </c>
      <c r="I34" s="300">
        <f>INDEX([4]DS!C14:AL14,1,3*T!$A$4-2)</f>
        <v>13846.378807340236</v>
      </c>
      <c r="J34" s="301">
        <f>INDEX([4]DS!D14:AM14,1,3*T!$A$4-2)</f>
        <v>147305.91819999999</v>
      </c>
      <c r="K34" s="354">
        <f t="shared" si="10"/>
        <v>1.8820276630634177E-2</v>
      </c>
    </row>
    <row r="35" spans="1:11" ht="14.45" customHeight="1" x14ac:dyDescent="0.2">
      <c r="A35" s="294"/>
      <c r="B35" s="294"/>
      <c r="C35" s="261" t="s">
        <v>2</v>
      </c>
      <c r="D35" s="255">
        <f>D33</f>
        <v>2303690</v>
      </c>
      <c r="E35" s="254">
        <f>SUM(E33:E34)</f>
        <v>811335.6002018149</v>
      </c>
      <c r="F35" s="254">
        <f>SUM(F33:F34)</f>
        <v>8630504.5410909988</v>
      </c>
      <c r="G35" s="338">
        <f>SUM(G33:G34)</f>
        <v>1</v>
      </c>
      <c r="H35" s="320">
        <f>(E35-I35)/I35</f>
        <v>0.10278366990689866</v>
      </c>
      <c r="I35" s="306">
        <f>SUM(I33:I34)</f>
        <v>735716.00880734029</v>
      </c>
      <c r="J35" s="307">
        <f>SUM(J33:J34)</f>
        <v>7826979.4791140007</v>
      </c>
      <c r="K35" s="356">
        <f>SUM(K33:K34)</f>
        <v>0.99999999999999989</v>
      </c>
    </row>
    <row r="36" spans="1:11" ht="14.45" customHeight="1" x14ac:dyDescent="0.2">
      <c r="A36" s="97"/>
      <c r="B36" s="97"/>
      <c r="C36" s="97"/>
      <c r="D36" s="249"/>
      <c r="E36" s="97"/>
      <c r="F36" s="97"/>
      <c r="G36" s="345"/>
      <c r="H36" s="329"/>
      <c r="I36" s="290"/>
      <c r="J36" s="311"/>
      <c r="K36" s="360"/>
    </row>
    <row r="37" spans="1:11" ht="14.45" customHeight="1" x14ac:dyDescent="0.2">
      <c r="A37" s="974" t="s">
        <v>86</v>
      </c>
      <c r="B37" s="974"/>
      <c r="C37" s="243"/>
      <c r="D37" s="258"/>
      <c r="E37" s="243"/>
      <c r="F37" s="243"/>
      <c r="G37" s="346"/>
      <c r="H37" s="330"/>
      <c r="I37" s="291"/>
      <c r="J37" s="303"/>
      <c r="K37" s="361"/>
    </row>
    <row r="38" spans="1:11" ht="14.45" customHeight="1" x14ac:dyDescent="0.2">
      <c r="A38" s="97"/>
      <c r="B38" s="97"/>
      <c r="C38" s="259" t="s">
        <v>6</v>
      </c>
      <c r="D38" s="247">
        <f>INDEX([2]DS!B17:AK17,1,3*T!$A$4-2)</f>
        <v>134</v>
      </c>
      <c r="E38" s="90">
        <f>INDEX([2]DS!C17:AL17,1,3*T!$A$4-2)</f>
        <v>12258.223000000002</v>
      </c>
      <c r="F38" s="98">
        <f>INDEX([2]DS!D17:AM17,1,3*T!$A$4-2)</f>
        <v>130142.019</v>
      </c>
      <c r="G38" s="336">
        <f>E38/$E$44</f>
        <v>0.30519196581454067</v>
      </c>
      <c r="H38" s="318">
        <f>(E38-I38)/I38</f>
        <v>0.13256560247042284</v>
      </c>
      <c r="I38" s="302">
        <f>INDEX([4]DS!C17:AL17,1,3*T!$A$4-2)</f>
        <v>10823.411</v>
      </c>
      <c r="J38" s="303">
        <f>INDEX([4]DS!D17:AM17,1,3*T!$A$4-2)</f>
        <v>115368.02999999998</v>
      </c>
      <c r="K38" s="354">
        <f>I38/$I$44</f>
        <v>0.30241078996936221</v>
      </c>
    </row>
    <row r="39" spans="1:11" ht="14.45" customHeight="1" x14ac:dyDescent="0.2">
      <c r="A39" s="97"/>
      <c r="B39" s="97"/>
      <c r="C39" s="259" t="s">
        <v>7</v>
      </c>
      <c r="D39" s="247">
        <f>INDEX([2]DS!B18:AK18,1,3*T!$A$4-2)</f>
        <v>348</v>
      </c>
      <c r="E39" s="90">
        <f>INDEX([2]DS!C18:AL18,1,3*T!$A$4-2)</f>
        <v>2613.4669999999996</v>
      </c>
      <c r="F39" s="98">
        <f>INDEX([2]DS!D18:AM18,1,3*T!$A$4-2)</f>
        <v>27746.394999999997</v>
      </c>
      <c r="G39" s="336">
        <f t="shared" ref="G39:G43" si="11">E39/$E$44</f>
        <v>6.5067272093306663E-2</v>
      </c>
      <c r="H39" s="318">
        <f t="shared" ref="H39:H41" si="12">(E39-I39)/I39</f>
        <v>1.9107284281685046E-2</v>
      </c>
      <c r="I39" s="302">
        <f>INDEX([4]DS!C18:AL18,1,3*T!$A$4-2)</f>
        <v>2564.4669999999996</v>
      </c>
      <c r="J39" s="303">
        <f>INDEX([4]DS!D18:AM18,1,3*T!$A$4-2)</f>
        <v>27335.166000000001</v>
      </c>
      <c r="K39" s="354">
        <f t="shared" ref="K39:K43" si="13">I39/$I$44</f>
        <v>7.1652318416103783E-2</v>
      </c>
    </row>
    <row r="40" spans="1:11" ht="14.45" customHeight="1" x14ac:dyDescent="0.2">
      <c r="A40" s="294"/>
      <c r="B40" s="975"/>
      <c r="C40" s="259" t="s">
        <v>8</v>
      </c>
      <c r="D40" s="247">
        <f>INDEX([2]DS!B19:AK19,1,3*T!$A$4-2)</f>
        <v>7986</v>
      </c>
      <c r="E40" s="90">
        <f>INDEX([2]DS!C19:AL19,1,3*T!$A$4-2)</f>
        <v>7886.6712960000004</v>
      </c>
      <c r="F40" s="98">
        <f>INDEX([2]DS!D19:AM19,1,3*T!$A$4-2)</f>
        <v>83731.265813999998</v>
      </c>
      <c r="G40" s="336">
        <f t="shared" si="11"/>
        <v>0.19635380401868616</v>
      </c>
      <c r="H40" s="318">
        <f t="shared" si="12"/>
        <v>0.12995271297097719</v>
      </c>
      <c r="I40" s="302">
        <f>INDEX([4]DS!C19:AL19,1,3*T!$A$4-2)</f>
        <v>6979.6472059999996</v>
      </c>
      <c r="J40" s="303">
        <f>INDEX([4]DS!D19:AM19,1,3*T!$A$4-2)</f>
        <v>74397.661435999995</v>
      </c>
      <c r="K40" s="354">
        <f t="shared" si="13"/>
        <v>0.19501436518246526</v>
      </c>
    </row>
    <row r="41" spans="1:11" ht="14.45" customHeight="1" x14ac:dyDescent="0.2">
      <c r="A41" s="294"/>
      <c r="B41" s="975"/>
      <c r="C41" s="259" t="s">
        <v>9</v>
      </c>
      <c r="D41" s="247">
        <f>INDEX([2]DS!B20:AK20,1,3*T!$A$4-2)</f>
        <v>105646</v>
      </c>
      <c r="E41" s="90">
        <f>INDEX([2]DS!C20:AL20,1,3*T!$A$4-2)</f>
        <v>16606.096704</v>
      </c>
      <c r="F41" s="98">
        <f>INDEX([2]DS!D20:AM20,1,3*T!$A$4-2)</f>
        <v>176303.72118600001</v>
      </c>
      <c r="G41" s="336">
        <f t="shared" si="11"/>
        <v>0.41344061839959378</v>
      </c>
      <c r="H41" s="318">
        <f t="shared" si="12"/>
        <v>0.12995271297097696</v>
      </c>
      <c r="I41" s="302">
        <f>INDEX([4]DS!C20:AL20,1,3*T!$A$4-2)</f>
        <v>14696.275794000001</v>
      </c>
      <c r="J41" s="303">
        <f>INDEX([4]DS!D20:AM20,1,3*T!$A$4-2)</f>
        <v>156650.97656400001</v>
      </c>
      <c r="K41" s="354">
        <f t="shared" si="13"/>
        <v>0.41062030929724058</v>
      </c>
    </row>
    <row r="42" spans="1:11" ht="14.45" customHeight="1" x14ac:dyDescent="0.2">
      <c r="A42" s="294"/>
      <c r="B42" s="975"/>
      <c r="C42" s="260" t="s">
        <v>222</v>
      </c>
      <c r="D42" s="248">
        <f>SUM(D38:D41)</f>
        <v>114114</v>
      </c>
      <c r="E42" s="246">
        <f>SUM(E38:E41)</f>
        <v>39364.457999999999</v>
      </c>
      <c r="F42" s="263">
        <f>SUM(F38:F41)</f>
        <v>417923.40099999995</v>
      </c>
      <c r="G42" s="337">
        <f t="shared" si="11"/>
        <v>0.98005366032612717</v>
      </c>
      <c r="H42" s="319">
        <f>(E42-I42)/I42</f>
        <v>0.12265233309988267</v>
      </c>
      <c r="I42" s="304">
        <f>SUM(I38:I41)</f>
        <v>35063.800999999999</v>
      </c>
      <c r="J42" s="305">
        <f>SUM(J38:J41)</f>
        <v>373751.83400000003</v>
      </c>
      <c r="K42" s="355">
        <f t="shared" si="13"/>
        <v>0.97969778286517184</v>
      </c>
    </row>
    <row r="43" spans="1:11" ht="14.45" customHeight="1" x14ac:dyDescent="0.2">
      <c r="A43" s="294"/>
      <c r="B43" s="975"/>
      <c r="C43" s="242" t="s">
        <v>120</v>
      </c>
      <c r="D43" s="251"/>
      <c r="E43" s="175">
        <f>INDEX([2]DS!C21:AL21,1,3*T!$A$4-2)</f>
        <v>801.15700000000004</v>
      </c>
      <c r="F43" s="175">
        <f>INDEX([2]DS!D21:AM21,1,3*T!$A$4-2)</f>
        <v>8505.6910000000007</v>
      </c>
      <c r="G43" s="336">
        <f t="shared" si="11"/>
        <v>1.9946339673872791E-2</v>
      </c>
      <c r="H43" s="328">
        <f>(E43-I43)/I43</f>
        <v>0.10257285394804753</v>
      </c>
      <c r="I43" s="300">
        <f>INDEX([4]DS!C21:AL21,1,3*T!$A$4-2)</f>
        <v>726.625</v>
      </c>
      <c r="J43" s="301">
        <f>INDEX([4]DS!D21:AM21,1,3*T!$A$4-2)</f>
        <v>7745.1230000000005</v>
      </c>
      <c r="K43" s="354">
        <f t="shared" si="13"/>
        <v>2.0302217134828181E-2</v>
      </c>
    </row>
    <row r="44" spans="1:11" ht="14.45" customHeight="1" x14ac:dyDescent="0.2">
      <c r="A44" s="294"/>
      <c r="B44" s="975"/>
      <c r="C44" s="261" t="s">
        <v>2</v>
      </c>
      <c r="D44" s="255">
        <f>D42</f>
        <v>114114</v>
      </c>
      <c r="E44" s="254">
        <f>SUM(E42:E43)</f>
        <v>40165.614999999998</v>
      </c>
      <c r="F44" s="254">
        <f>SUM(F42:F43)</f>
        <v>426429.09199999995</v>
      </c>
      <c r="G44" s="338">
        <f>SUM(G42:G43)</f>
        <v>1</v>
      </c>
      <c r="H44" s="320">
        <f>(E44-I44)/I44</f>
        <v>0.12224467515418784</v>
      </c>
      <c r="I44" s="306">
        <f>SUM(I42:I43)</f>
        <v>35790.425999999999</v>
      </c>
      <c r="J44" s="307">
        <f>SUM(J42:J43)</f>
        <v>381496.95700000005</v>
      </c>
      <c r="K44" s="356">
        <f>SUM(K42:K43)</f>
        <v>1</v>
      </c>
    </row>
    <row r="45" spans="1:11" ht="14.45" customHeight="1" x14ac:dyDescent="0.2">
      <c r="A45" s="294"/>
      <c r="B45" s="975"/>
      <c r="C45" s="294"/>
      <c r="D45" s="312"/>
      <c r="E45" s="308"/>
      <c r="F45" s="308"/>
      <c r="G45" s="347"/>
      <c r="H45" s="331"/>
      <c r="I45" s="313"/>
      <c r="J45" s="311"/>
      <c r="K45" s="362"/>
    </row>
    <row r="46" spans="1:11" ht="14.45" customHeight="1" x14ac:dyDescent="0.2">
      <c r="A46" s="974" t="s">
        <v>231</v>
      </c>
      <c r="B46" s="974"/>
      <c r="C46" s="243"/>
      <c r="D46" s="241"/>
      <c r="E46" s="976"/>
      <c r="F46" s="974"/>
      <c r="G46" s="348"/>
      <c r="H46" s="330"/>
      <c r="I46" s="292"/>
      <c r="J46" s="314"/>
      <c r="K46" s="363"/>
    </row>
    <row r="47" spans="1:11" ht="14.45" customHeight="1" x14ac:dyDescent="0.2">
      <c r="A47" s="977" t="s">
        <v>224</v>
      </c>
      <c r="B47" s="977"/>
      <c r="C47" s="259" t="s">
        <v>6</v>
      </c>
      <c r="D47" s="251">
        <f>INDEX([2]DS!B26:AK26,1,3*T!$A$4-2)</f>
        <v>11</v>
      </c>
      <c r="E47" s="250">
        <f>INDEX([2]DS!C26:AL26,1,3*T!$A$4-2)</f>
        <v>9398.9050000000007</v>
      </c>
      <c r="F47" s="175">
        <f>INDEX([2]DS!D26:AM26,1,3*T!$A$4-2)</f>
        <v>99851.035000000003</v>
      </c>
      <c r="G47" s="349">
        <f>E47/$E$51</f>
        <v>0.83443376008051262</v>
      </c>
      <c r="H47" s="318">
        <f t="shared" ref="H47:H51" si="14">(E47-I47)/I47</f>
        <v>0.70121470020742782</v>
      </c>
      <c r="I47" s="302">
        <f>INDEX([4]DS!C26:AL26,1,3*T!$A$4-2)</f>
        <v>5524.82</v>
      </c>
      <c r="J47" s="303">
        <f>INDEX([4]DS!D26:AM26,1,3*T!$A$4-2)</f>
        <v>58653.682000000001</v>
      </c>
      <c r="K47" s="364">
        <f>I47/$I$51</f>
        <v>0.51295859179783587</v>
      </c>
    </row>
    <row r="48" spans="1:11" ht="14.45" customHeight="1" x14ac:dyDescent="0.2">
      <c r="A48" s="977" t="s">
        <v>225</v>
      </c>
      <c r="B48" s="977"/>
      <c r="C48" s="259" t="s">
        <v>222</v>
      </c>
      <c r="D48" s="251">
        <f>INDEX([2]DS!B32:AK32,1,3*T!$A$4-2)</f>
        <v>159</v>
      </c>
      <c r="E48" s="250">
        <f>INDEX([2]DS!C32:AL32,1,3*T!$A$4-2)</f>
        <v>1122</v>
      </c>
      <c r="F48" s="175">
        <f>INDEX([2]DS!D32:AM32,1,3*T!$A$4-2)</f>
        <v>11753</v>
      </c>
      <c r="G48" s="349">
        <f t="shared" ref="G48:G50" si="15">E48/$E$51</f>
        <v>9.9611037542174874E-2</v>
      </c>
      <c r="H48" s="318">
        <f t="shared" si="14"/>
        <v>0.1130952380952381</v>
      </c>
      <c r="I48" s="302">
        <f>INDEX([4]DS!C32:AL32,1,3*T!$A$4-2)</f>
        <v>1008</v>
      </c>
      <c r="J48" s="303">
        <f>INDEX([4]DS!D32:AM32,1,3*T!$A$4-2)</f>
        <v>10551</v>
      </c>
      <c r="K48" s="364">
        <f>I48/$I$51</f>
        <v>9.3588978560789057E-2</v>
      </c>
    </row>
    <row r="49" spans="1:11" ht="14.45" customHeight="1" x14ac:dyDescent="0.2">
      <c r="A49" s="332"/>
      <c r="B49" s="332"/>
      <c r="C49" s="260" t="s">
        <v>222</v>
      </c>
      <c r="D49" s="248">
        <f>SUM(D47:D48)</f>
        <v>170</v>
      </c>
      <c r="E49" s="246">
        <f>SUM(E47:E48)</f>
        <v>10520.905000000001</v>
      </c>
      <c r="F49" s="263">
        <f>SUM(F47:F48)</f>
        <v>111604.035</v>
      </c>
      <c r="G49" s="337">
        <f t="shared" si="15"/>
        <v>0.93404479762268755</v>
      </c>
      <c r="H49" s="319">
        <f t="shared" si="14"/>
        <v>0.61046913890173016</v>
      </c>
      <c r="I49" s="304">
        <f>SUM(I47:I48)</f>
        <v>6532.82</v>
      </c>
      <c r="J49" s="305">
        <f>SUM(J47:J48)</f>
        <v>69204.682000000001</v>
      </c>
      <c r="K49" s="355">
        <f t="shared" ref="K49:K50" si="16">I49/$I$51</f>
        <v>0.60654757035862494</v>
      </c>
    </row>
    <row r="50" spans="1:11" ht="14.45" customHeight="1" x14ac:dyDescent="0.2">
      <c r="A50" s="977" t="s">
        <v>229</v>
      </c>
      <c r="B50" s="977"/>
      <c r="C50" s="259" t="s">
        <v>180</v>
      </c>
      <c r="D50" s="251"/>
      <c r="E50" s="250">
        <f>INDEX([2]DS!C34:AL34,1,3*T!$A$4-2)</f>
        <v>742.90700000000106</v>
      </c>
      <c r="F50" s="175">
        <f>INDEX([2]DS!D34:AM34,1,3*T!$A$4-2)</f>
        <v>7923.9100000000326</v>
      </c>
      <c r="G50" s="349">
        <f t="shared" si="15"/>
        <v>6.5955202377312491E-2</v>
      </c>
      <c r="H50" s="318">
        <f t="shared" si="14"/>
        <v>-0.82469011928463642</v>
      </c>
      <c r="I50" s="300">
        <f>INDEX([4]DS!C34:AL34,1,3*T!$A$4-2)</f>
        <v>4237.6790000000001</v>
      </c>
      <c r="J50" s="301">
        <f>INDEX([4]DS!D34:AM34,1,3*T!$A$4-2)</f>
        <v>46096.91062000001</v>
      </c>
      <c r="K50" s="364">
        <f t="shared" si="16"/>
        <v>0.39345242964137506</v>
      </c>
    </row>
    <row r="51" spans="1:11" ht="14.45" customHeight="1" x14ac:dyDescent="0.2">
      <c r="A51" s="315"/>
      <c r="B51" s="315"/>
      <c r="C51" s="261" t="s">
        <v>2</v>
      </c>
      <c r="D51" s="255">
        <f>D49</f>
        <v>170</v>
      </c>
      <c r="E51" s="253">
        <f>SUM(E49:E50)</f>
        <v>11263.812000000002</v>
      </c>
      <c r="F51" s="254">
        <f>SUM(F49:F50)</f>
        <v>119527.94500000004</v>
      </c>
      <c r="G51" s="338">
        <f>SUM(G49:G50)</f>
        <v>1</v>
      </c>
      <c r="H51" s="320">
        <f t="shared" si="14"/>
        <v>4.5802241845990785E-2</v>
      </c>
      <c r="I51" s="293">
        <f>SUM(I49:I50)</f>
        <v>10770.499</v>
      </c>
      <c r="J51" s="264">
        <f>SUM(J49:J50)</f>
        <v>115301.59262000001</v>
      </c>
      <c r="K51" s="356">
        <f>SUM(K49:K50)</f>
        <v>1</v>
      </c>
    </row>
    <row r="52" spans="1:11" ht="14.45" customHeight="1" x14ac:dyDescent="0.2">
      <c r="A52" s="315"/>
      <c r="B52" s="315"/>
      <c r="C52" s="242"/>
      <c r="D52" s="251"/>
      <c r="E52" s="250"/>
      <c r="F52" s="175"/>
      <c r="G52" s="350"/>
      <c r="H52" s="269"/>
      <c r="I52" s="291"/>
      <c r="J52" s="303"/>
      <c r="K52" s="365"/>
    </row>
    <row r="53" spans="1:11" ht="14.45" customHeight="1" x14ac:dyDescent="0.2">
      <c r="A53" s="315"/>
      <c r="B53" s="315"/>
      <c r="C53" s="242"/>
      <c r="D53" s="175"/>
      <c r="E53" s="175"/>
      <c r="F53" s="175"/>
      <c r="G53" s="175"/>
      <c r="H53" s="97"/>
      <c r="I53" s="291"/>
      <c r="J53" s="303"/>
      <c r="K53" s="316"/>
    </row>
    <row r="54" spans="1:11" ht="15.75" customHeight="1" x14ac:dyDescent="0.2">
      <c r="A54" s="63"/>
      <c r="B54" s="245"/>
      <c r="C54" s="245"/>
      <c r="D54" s="245"/>
      <c r="E54" s="245"/>
      <c r="F54" s="245"/>
      <c r="G54" s="245"/>
      <c r="H54" s="245"/>
      <c r="I54" s="88"/>
      <c r="J54" s="245"/>
    </row>
    <row r="55" spans="1:11" ht="15" customHeight="1" x14ac:dyDescent="0.2">
      <c r="A55" s="945" t="s">
        <v>230</v>
      </c>
      <c r="B55" s="945"/>
      <c r="C55" s="945"/>
      <c r="D55" s="945"/>
      <c r="E55" s="945"/>
      <c r="F55" s="945"/>
      <c r="G55" s="945"/>
      <c r="H55" s="945"/>
      <c r="I55" s="945"/>
      <c r="J55" s="945"/>
      <c r="K55" s="945"/>
    </row>
    <row r="56" spans="1:11" ht="15" customHeight="1" x14ac:dyDescent="0.2">
      <c r="A56" s="945"/>
      <c r="B56" s="945"/>
      <c r="C56" s="945"/>
      <c r="D56" s="945"/>
      <c r="E56" s="945"/>
      <c r="F56" s="945"/>
      <c r="G56" s="945"/>
      <c r="H56" s="945"/>
      <c r="I56" s="945"/>
      <c r="J56" s="945"/>
      <c r="K56" s="945"/>
    </row>
    <row r="57" spans="1:11" ht="15" customHeight="1" x14ac:dyDescent="0.2">
      <c r="A57" s="945"/>
      <c r="B57" s="945"/>
      <c r="C57" s="945"/>
      <c r="D57" s="945"/>
      <c r="E57" s="945"/>
      <c r="F57" s="945"/>
      <c r="G57" s="945"/>
      <c r="H57" s="945"/>
      <c r="I57" s="945"/>
      <c r="J57" s="945"/>
      <c r="K57" s="945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  <mergeCell ref="A28:B28"/>
    <mergeCell ref="A29:B30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73" t="s">
        <v>267</v>
      </c>
      <c r="K1" s="973"/>
    </row>
    <row r="2" spans="1:17" ht="6.75" customHeight="1" x14ac:dyDescent="0.2"/>
    <row r="3" spans="1:17" ht="30" customHeight="1" x14ac:dyDescent="0.2">
      <c r="A3" s="981" t="s">
        <v>391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</row>
    <row r="4" spans="1:17" ht="16.5" customHeight="1" x14ac:dyDescent="0.2">
      <c r="B4" s="244"/>
      <c r="C4" s="244"/>
      <c r="D4" s="980" t="str">
        <f>T!G19</f>
        <v>Únor</v>
      </c>
      <c r="E4" s="980"/>
      <c r="F4" s="225">
        <f>T!I21</f>
        <v>2015</v>
      </c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83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D4</f>
        <v>Únor</v>
      </c>
      <c r="F7" s="267">
        <f>F4</f>
        <v>2015</v>
      </c>
      <c r="G7" s="267"/>
      <c r="H7" s="984"/>
      <c r="I7" s="282" t="str">
        <f>D4</f>
        <v>Únor</v>
      </c>
      <c r="J7" s="262">
        <f>F4-1</f>
        <v>2014</v>
      </c>
      <c r="K7" s="276"/>
    </row>
    <row r="8" spans="1:17" ht="14.1" customHeight="1" x14ac:dyDescent="0.2">
      <c r="A8" s="280"/>
      <c r="B8" s="375"/>
      <c r="C8" s="988" t="s">
        <v>96</v>
      </c>
      <c r="D8" s="969"/>
      <c r="E8" s="971" t="s">
        <v>71</v>
      </c>
      <c r="F8" s="939"/>
      <c r="G8" s="333" t="s">
        <v>226</v>
      </c>
      <c r="H8" s="984"/>
      <c r="I8" s="972" t="s">
        <v>71</v>
      </c>
      <c r="J8" s="939"/>
      <c r="K8" s="351" t="s">
        <v>226</v>
      </c>
    </row>
    <row r="9" spans="1:17" ht="14.1" customHeight="1" x14ac:dyDescent="0.2">
      <c r="A9" s="252"/>
      <c r="B9" s="376"/>
      <c r="C9" s="989"/>
      <c r="D9" s="970"/>
      <c r="E9" s="268" t="s">
        <v>15</v>
      </c>
      <c r="F9" s="268" t="s">
        <v>1</v>
      </c>
      <c r="G9" s="334" t="s">
        <v>128</v>
      </c>
      <c r="H9" s="985"/>
      <c r="I9" s="283" t="s">
        <v>15</v>
      </c>
      <c r="J9" s="268" t="s">
        <v>1</v>
      </c>
      <c r="K9" s="352" t="s">
        <v>128</v>
      </c>
    </row>
    <row r="10" spans="1:17" ht="14.45" customHeight="1" x14ac:dyDescent="0.2">
      <c r="A10" s="986" t="s">
        <v>4</v>
      </c>
      <c r="B10" s="986"/>
      <c r="C10" s="367"/>
      <c r="D10" s="256"/>
      <c r="E10" s="367"/>
      <c r="F10" s="367"/>
      <c r="G10" s="335"/>
      <c r="H10" s="317"/>
      <c r="I10" s="284"/>
      <c r="J10" s="367"/>
      <c r="K10" s="353"/>
    </row>
    <row r="11" spans="1:17" ht="14.45" customHeight="1" x14ac:dyDescent="0.2">
      <c r="A11" s="97"/>
      <c r="B11" s="97"/>
      <c r="C11" s="991" t="s">
        <v>72</v>
      </c>
      <c r="D11" s="992"/>
      <c r="E11" s="98">
        <f>'5'!E26</f>
        <v>127101.92699999998</v>
      </c>
      <c r="F11" s="98">
        <f>'5'!F26</f>
        <v>1348939.796292</v>
      </c>
      <c r="G11" s="336">
        <f>E11/$E$15</f>
        <v>0.12840304089400517</v>
      </c>
      <c r="H11" s="318">
        <f>(E11-I11)/I11</f>
        <v>0.12614126395976749</v>
      </c>
      <c r="I11" s="285">
        <f>'5'!I26</f>
        <v>112864.99400002522</v>
      </c>
      <c r="J11" s="98">
        <f>'5'!J26</f>
        <v>1194470.0490002667</v>
      </c>
      <c r="K11" s="354">
        <f>I11/$I$15</f>
        <v>0.12608614398890472</v>
      </c>
    </row>
    <row r="12" spans="1:17" ht="14.45" customHeight="1" x14ac:dyDescent="0.2">
      <c r="A12" s="97"/>
      <c r="B12" s="97"/>
      <c r="C12" s="991" t="s">
        <v>73</v>
      </c>
      <c r="D12" s="992"/>
      <c r="E12" s="98">
        <f>'5'!E35</f>
        <v>811335.6002018149</v>
      </c>
      <c r="F12" s="98">
        <f>'5'!F35</f>
        <v>8630504.5410909988</v>
      </c>
      <c r="G12" s="336">
        <f>E12/$E$15</f>
        <v>0.8196410606070188</v>
      </c>
      <c r="H12" s="318">
        <f t="shared" ref="H12:H13" si="0">(E12-I12)/I12</f>
        <v>0.10278366990689866</v>
      </c>
      <c r="I12" s="285">
        <f>'5'!I35</f>
        <v>735716.00880734029</v>
      </c>
      <c r="J12" s="98">
        <f>'5'!J35</f>
        <v>7826979.4791140007</v>
      </c>
      <c r="K12" s="354">
        <f>I12/$I$15</f>
        <v>0.82189872460724056</v>
      </c>
      <c r="L12" s="286"/>
      <c r="M12" s="286"/>
      <c r="O12" s="286"/>
      <c r="P12" s="286"/>
      <c r="Q12" s="286"/>
    </row>
    <row r="13" spans="1:17" ht="14.45" customHeight="1" x14ac:dyDescent="0.2">
      <c r="A13" s="294"/>
      <c r="B13" s="270"/>
      <c r="C13" s="991" t="s">
        <v>74</v>
      </c>
      <c r="D13" s="992"/>
      <c r="E13" s="98">
        <f>'5'!E44</f>
        <v>40165.614999999998</v>
      </c>
      <c r="F13" s="98">
        <f>'5'!F44</f>
        <v>426429.09199999995</v>
      </c>
      <c r="G13" s="336">
        <f>E13/$E$15</f>
        <v>4.0576781384108106E-2</v>
      </c>
      <c r="H13" s="318">
        <f t="shared" si="0"/>
        <v>0.12224467515418784</v>
      </c>
      <c r="I13" s="285">
        <f>'5'!I44</f>
        <v>35790.425999999999</v>
      </c>
      <c r="J13" s="98">
        <f>'5'!J44</f>
        <v>381496.95700000005</v>
      </c>
      <c r="K13" s="354">
        <f>I13/$I$15</f>
        <v>3.9982962352872943E-2</v>
      </c>
      <c r="L13" s="286"/>
      <c r="M13" s="286"/>
      <c r="O13" s="286"/>
      <c r="P13" s="286"/>
      <c r="Q13" s="286"/>
    </row>
    <row r="14" spans="1:17" ht="14.45" customHeight="1" x14ac:dyDescent="0.2">
      <c r="A14" s="294"/>
      <c r="B14" s="270"/>
      <c r="C14" s="991" t="s">
        <v>181</v>
      </c>
      <c r="D14" s="992"/>
      <c r="E14" s="98">
        <f>'5'!E51</f>
        <v>11263.812000000002</v>
      </c>
      <c r="F14" s="98">
        <f>'5'!F51</f>
        <v>119527.94500000004</v>
      </c>
      <c r="G14" s="336">
        <f>E14/$E$15</f>
        <v>1.137911711486787E-2</v>
      </c>
      <c r="H14" s="318">
        <f>(E14-I14)/I14</f>
        <v>4.5802241845990785E-2</v>
      </c>
      <c r="I14" s="285">
        <f>'5'!I51</f>
        <v>10770.499</v>
      </c>
      <c r="J14" s="98">
        <f>'5'!J51</f>
        <v>115301.59262000001</v>
      </c>
      <c r="K14" s="354">
        <f>I14/$I$15</f>
        <v>1.2032169050981837E-2</v>
      </c>
      <c r="L14" s="286"/>
      <c r="M14" s="286"/>
      <c r="O14" s="286"/>
      <c r="P14" s="286"/>
      <c r="Q14" s="286"/>
    </row>
    <row r="15" spans="1:17" ht="14.45" customHeight="1" x14ac:dyDescent="0.2">
      <c r="A15" s="294"/>
      <c r="B15" s="270"/>
      <c r="C15" s="993" t="s">
        <v>5</v>
      </c>
      <c r="D15" s="994"/>
      <c r="E15" s="253">
        <f>SUM(E11:E14)</f>
        <v>989866.95420181495</v>
      </c>
      <c r="F15" s="254">
        <f>SUM(F11:F14)</f>
        <v>10525401.374382999</v>
      </c>
      <c r="G15" s="338">
        <f>SUM(G11:G14)</f>
        <v>0.99999999999999989</v>
      </c>
      <c r="H15" s="320">
        <f>(E15-I15)/I15</f>
        <v>0.10582123733883947</v>
      </c>
      <c r="I15" s="288">
        <f>SUM(I11:I14)</f>
        <v>895141.92780736543</v>
      </c>
      <c r="J15" s="254">
        <f>SUM(J11:J14)</f>
        <v>9518248.0777342673</v>
      </c>
      <c r="K15" s="356">
        <f>SUM(K11:K14)</f>
        <v>1</v>
      </c>
      <c r="L15" s="286"/>
      <c r="M15" s="286"/>
      <c r="O15" s="286"/>
      <c r="P15" s="286"/>
      <c r="Q15" s="286"/>
    </row>
    <row r="16" spans="1:17" ht="14.45" customHeight="1" x14ac:dyDescent="0.2">
      <c r="A16" s="294"/>
      <c r="B16" s="270"/>
      <c r="C16" s="259"/>
      <c r="D16" s="379"/>
      <c r="E16" s="380"/>
      <c r="F16" s="380"/>
      <c r="G16" s="381"/>
      <c r="H16" s="382"/>
      <c r="I16" s="383"/>
      <c r="J16" s="380"/>
      <c r="K16" s="384"/>
      <c r="L16" s="286"/>
      <c r="M16" s="286"/>
      <c r="O16" s="286"/>
      <c r="P16" s="286"/>
      <c r="Q16" s="286"/>
    </row>
    <row r="17" spans="1:16" ht="14.45" customHeight="1" x14ac:dyDescent="0.2">
      <c r="A17" s="982"/>
      <c r="B17" s="982"/>
      <c r="C17" s="982"/>
      <c r="D17" s="299"/>
      <c r="E17" s="176"/>
      <c r="F17" s="176"/>
      <c r="G17" s="340"/>
      <c r="H17" s="322"/>
      <c r="I17" s="300"/>
      <c r="J17" s="301"/>
      <c r="K17" s="358"/>
      <c r="L17" s="286"/>
      <c r="M17" s="286"/>
    </row>
    <row r="18" spans="1:16" ht="6" customHeight="1" x14ac:dyDescent="0.2">
      <c r="A18" s="97"/>
      <c r="B18" s="97"/>
      <c r="C18" s="259"/>
      <c r="D18" s="98"/>
      <c r="E18" s="98"/>
      <c r="F18" s="98"/>
      <c r="G18" s="385"/>
      <c r="H18" s="386"/>
      <c r="I18" s="303"/>
      <c r="J18" s="303"/>
      <c r="K18" s="387"/>
      <c r="L18" s="286"/>
      <c r="M18" s="286"/>
      <c r="N18" s="286"/>
    </row>
    <row r="19" spans="1:16" ht="14.45" customHeight="1" x14ac:dyDescent="0.2">
      <c r="A19" s="968" t="s">
        <v>248</v>
      </c>
      <c r="B19" s="968"/>
      <c r="C19" s="968"/>
      <c r="D19" s="968"/>
      <c r="E19" s="968"/>
      <c r="F19" s="968"/>
      <c r="G19" s="968"/>
      <c r="H19" s="968"/>
      <c r="I19" s="968"/>
      <c r="J19" s="968"/>
      <c r="K19" s="968"/>
      <c r="L19" s="289"/>
      <c r="M19" s="289"/>
      <c r="N19" s="286"/>
    </row>
    <row r="20" spans="1:16" ht="14.45" customHeight="1" x14ac:dyDescent="0.2">
      <c r="A20" s="176"/>
      <c r="B20" s="996"/>
      <c r="C20" s="369"/>
      <c r="D20" s="175"/>
      <c r="E20" s="995" t="str">
        <f>E7</f>
        <v>Únor</v>
      </c>
      <c r="F20" s="995"/>
      <c r="G20" s="390"/>
      <c r="H20" s="388"/>
      <c r="I20" s="301"/>
      <c r="J20" s="301"/>
      <c r="K20" s="391"/>
      <c r="L20" s="286"/>
      <c r="M20" s="286"/>
      <c r="N20" s="286"/>
      <c r="O20" s="286"/>
      <c r="P20" s="286"/>
    </row>
    <row r="21" spans="1:16" ht="14.45" customHeight="1" x14ac:dyDescent="0.2">
      <c r="A21" s="176"/>
      <c r="B21" s="996"/>
      <c r="C21" s="369"/>
      <c r="D21" s="175"/>
      <c r="E21" s="486">
        <f>F7</f>
        <v>2015</v>
      </c>
      <c r="F21" s="487">
        <f>J7</f>
        <v>2014</v>
      </c>
      <c r="H21" s="388"/>
      <c r="I21" s="301"/>
      <c r="J21" s="301"/>
      <c r="K21" s="391"/>
      <c r="L21" s="286"/>
      <c r="M21" s="286"/>
      <c r="N21" s="286"/>
      <c r="O21" s="286"/>
      <c r="P21" s="286"/>
    </row>
    <row r="22" spans="1:16" ht="14.45" customHeight="1" x14ac:dyDescent="0.2">
      <c r="A22" s="176"/>
      <c r="B22" s="996"/>
      <c r="C22" s="369"/>
      <c r="D22" s="175" t="str">
        <f>C11</f>
        <v>PP Distribuce</v>
      </c>
      <c r="E22" s="175">
        <f>E11</f>
        <v>127101.92699999998</v>
      </c>
      <c r="F22" s="485">
        <f>I11</f>
        <v>112864.99400002522</v>
      </c>
      <c r="H22" s="388"/>
      <c r="I22" s="301"/>
      <c r="J22" s="301"/>
      <c r="K22" s="391"/>
      <c r="L22" s="286"/>
      <c r="M22" s="286"/>
      <c r="N22" s="286"/>
      <c r="O22" s="286"/>
      <c r="P22" s="286"/>
    </row>
    <row r="23" spans="1:16" ht="14.45" customHeight="1" x14ac:dyDescent="0.2">
      <c r="A23" s="176"/>
      <c r="B23" s="996"/>
      <c r="C23" s="369"/>
      <c r="D23" s="175" t="str">
        <f>C12</f>
        <v>RWE GasNet</v>
      </c>
      <c r="E23" s="175">
        <f>E12</f>
        <v>811335.6002018149</v>
      </c>
      <c r="F23" s="485">
        <f>I12</f>
        <v>735716.00880734029</v>
      </c>
      <c r="H23" s="388"/>
      <c r="I23" s="301"/>
      <c r="J23" s="301"/>
      <c r="K23" s="391"/>
      <c r="L23" s="286"/>
      <c r="M23" s="286"/>
      <c r="N23" s="286"/>
      <c r="O23" s="286"/>
      <c r="P23" s="286"/>
    </row>
    <row r="24" spans="1:16" ht="14.45" customHeight="1" x14ac:dyDescent="0.2">
      <c r="A24" s="176"/>
      <c r="B24" s="996"/>
      <c r="C24" s="369"/>
      <c r="D24" s="175" t="str">
        <f>C13</f>
        <v>E.ON Distribuce</v>
      </c>
      <c r="E24" s="175">
        <f>E13</f>
        <v>40165.614999999998</v>
      </c>
      <c r="F24" s="485">
        <f>I13</f>
        <v>35790.425999999999</v>
      </c>
      <c r="H24" s="388"/>
      <c r="I24" s="301"/>
      <c r="J24" s="301"/>
      <c r="K24" s="391"/>
      <c r="L24" s="286"/>
      <c r="M24" s="286"/>
      <c r="N24" s="286"/>
      <c r="O24" s="286"/>
      <c r="P24" s="286"/>
    </row>
    <row r="25" spans="1:16" ht="14.45" customHeight="1" x14ac:dyDescent="0.2">
      <c r="A25" s="176"/>
      <c r="B25" s="996"/>
      <c r="C25" s="176"/>
      <c r="D25" s="175" t="str">
        <f>C14</f>
        <v>Ostatní společnosti</v>
      </c>
      <c r="E25" s="175">
        <f>E14</f>
        <v>11263.812000000002</v>
      </c>
      <c r="F25" s="485">
        <f>I14</f>
        <v>10770.499</v>
      </c>
      <c r="H25" s="389"/>
      <c r="I25" s="301"/>
      <c r="J25" s="301"/>
      <c r="K25" s="176"/>
      <c r="L25" s="289"/>
      <c r="N25" s="286"/>
      <c r="O25" s="286"/>
      <c r="P25" s="286"/>
    </row>
    <row r="26" spans="1:16" ht="14.45" customHeight="1" x14ac:dyDescent="0.2">
      <c r="A26" s="990"/>
      <c r="B26" s="990"/>
      <c r="C26" s="176"/>
      <c r="D26" s="176"/>
      <c r="E26" s="176"/>
      <c r="F26" s="176"/>
      <c r="G26" s="176"/>
      <c r="H26" s="389"/>
      <c r="I26" s="301"/>
      <c r="J26" s="301"/>
      <c r="K26" s="176"/>
      <c r="L26" s="289"/>
      <c r="N26" s="286"/>
      <c r="O26" s="286"/>
      <c r="P26" s="286"/>
    </row>
    <row r="27" spans="1:16" ht="14.45" customHeight="1" x14ac:dyDescent="0.2">
      <c r="A27" s="997"/>
      <c r="B27" s="997"/>
      <c r="C27" s="369"/>
      <c r="D27" s="175"/>
      <c r="E27" s="175"/>
      <c r="F27" s="175"/>
      <c r="G27" s="391"/>
      <c r="H27" s="392"/>
      <c r="I27" s="301"/>
      <c r="J27" s="301"/>
      <c r="K27" s="391"/>
    </row>
    <row r="28" spans="1:16" ht="14.45" customHeight="1" x14ac:dyDescent="0.2">
      <c r="A28" s="997"/>
      <c r="B28" s="997"/>
      <c r="C28" s="369"/>
      <c r="D28" s="175"/>
      <c r="E28" s="175"/>
      <c r="F28" s="175"/>
      <c r="G28" s="391"/>
      <c r="H28" s="392"/>
      <c r="I28" s="301"/>
      <c r="J28" s="301"/>
      <c r="K28" s="391"/>
    </row>
    <row r="29" spans="1:16" ht="14.45" customHeight="1" x14ac:dyDescent="0.2">
      <c r="A29" s="176"/>
      <c r="B29" s="176"/>
      <c r="C29" s="369"/>
      <c r="D29" s="175"/>
      <c r="E29" s="175"/>
      <c r="F29" s="175"/>
      <c r="G29" s="391"/>
      <c r="H29" s="392"/>
      <c r="I29" s="301"/>
      <c r="J29" s="301"/>
      <c r="K29" s="391"/>
    </row>
    <row r="30" spans="1:16" ht="14.45" customHeight="1" x14ac:dyDescent="0.2">
      <c r="A30" s="176"/>
      <c r="B30" s="176"/>
      <c r="C30" s="369"/>
      <c r="D30" s="175"/>
      <c r="E30" s="175"/>
      <c r="F30" s="175"/>
      <c r="G30" s="391"/>
      <c r="H30" s="392"/>
      <c r="I30" s="301"/>
      <c r="J30" s="301"/>
      <c r="K30" s="391"/>
    </row>
    <row r="31" spans="1:16" ht="14.45" customHeight="1" x14ac:dyDescent="0.2">
      <c r="A31" s="176"/>
      <c r="B31" s="176"/>
      <c r="C31" s="369"/>
      <c r="D31" s="175"/>
      <c r="E31" s="175"/>
      <c r="F31" s="175"/>
      <c r="G31" s="391"/>
      <c r="H31" s="392"/>
      <c r="I31" s="301"/>
      <c r="J31" s="301"/>
      <c r="K31" s="391"/>
    </row>
    <row r="32" spans="1:16" ht="14.45" customHeight="1" x14ac:dyDescent="0.2">
      <c r="A32" s="990" t="s">
        <v>97</v>
      </c>
      <c r="B32" s="990"/>
      <c r="C32" s="990"/>
      <c r="D32" s="990"/>
      <c r="E32" s="990"/>
      <c r="F32" s="990"/>
      <c r="G32" s="990"/>
      <c r="H32" s="990"/>
      <c r="I32" s="990"/>
      <c r="J32" s="990"/>
      <c r="K32" s="990"/>
    </row>
    <row r="33" spans="1:11" ht="14.45" customHeight="1" x14ac:dyDescent="0.2">
      <c r="A33" s="176"/>
      <c r="B33" s="176"/>
      <c r="C33" s="369"/>
      <c r="D33" s="175"/>
      <c r="E33" s="175" t="str">
        <f>E7</f>
        <v>Únor</v>
      </c>
      <c r="F33" s="430">
        <f>F7</f>
        <v>2015</v>
      </c>
      <c r="G33" s="391"/>
      <c r="H33" s="392"/>
      <c r="I33" s="301"/>
      <c r="J33" s="301"/>
      <c r="K33" s="391"/>
    </row>
    <row r="34" spans="1:11" ht="14.45" customHeight="1" x14ac:dyDescent="0.2">
      <c r="A34" s="393"/>
      <c r="B34" s="393"/>
      <c r="C34" s="393"/>
      <c r="D34" s="393"/>
      <c r="E34" s="393"/>
      <c r="F34" s="393"/>
      <c r="G34" s="393"/>
      <c r="H34" s="394"/>
      <c r="I34" s="395"/>
      <c r="J34" s="301"/>
      <c r="K34" s="393"/>
    </row>
    <row r="35" spans="1:11" ht="14.45" customHeight="1" x14ac:dyDescent="0.2">
      <c r="A35" s="997"/>
      <c r="B35" s="997"/>
      <c r="C35" s="393"/>
      <c r="D35" s="393"/>
      <c r="E35" s="393" t="str">
        <f>C11</f>
        <v>PP Distribuce</v>
      </c>
      <c r="F35" s="395">
        <f>E11</f>
        <v>127101.92699999998</v>
      </c>
      <c r="G35" s="393"/>
      <c r="H35" s="394"/>
      <c r="I35" s="395"/>
      <c r="J35" s="301"/>
      <c r="K35" s="393"/>
    </row>
    <row r="36" spans="1:11" ht="14.45" customHeight="1" x14ac:dyDescent="0.2">
      <c r="A36" s="393"/>
      <c r="B36" s="393"/>
      <c r="C36" s="369"/>
      <c r="D36" s="175"/>
      <c r="E36" s="393" t="str">
        <f t="shared" ref="E36:E38" si="1">C12</f>
        <v>RWE GasNet</v>
      </c>
      <c r="F36" s="395">
        <f t="shared" ref="F36:F38" si="2">E12</f>
        <v>811335.6002018149</v>
      </c>
      <c r="G36" s="391"/>
      <c r="H36" s="392"/>
      <c r="I36" s="301"/>
      <c r="J36" s="301"/>
      <c r="K36" s="391"/>
    </row>
    <row r="37" spans="1:11" ht="14.45" customHeight="1" x14ac:dyDescent="0.2">
      <c r="A37" s="393"/>
      <c r="B37" s="393"/>
      <c r="C37" s="369"/>
      <c r="D37" s="175"/>
      <c r="E37" s="393" t="str">
        <f t="shared" si="1"/>
        <v>E.ON Distribuce</v>
      </c>
      <c r="F37" s="395">
        <f t="shared" si="2"/>
        <v>40165.614999999998</v>
      </c>
      <c r="G37" s="391"/>
      <c r="H37" s="392"/>
      <c r="I37" s="301"/>
      <c r="J37" s="301"/>
      <c r="K37" s="391"/>
    </row>
    <row r="38" spans="1:11" ht="14.45" customHeight="1" x14ac:dyDescent="0.2">
      <c r="A38" s="176"/>
      <c r="B38" s="996"/>
      <c r="C38" s="369"/>
      <c r="D38" s="175"/>
      <c r="E38" s="393" t="str">
        <f t="shared" si="1"/>
        <v>Ostatní společnosti</v>
      </c>
      <c r="F38" s="395">
        <f t="shared" si="2"/>
        <v>11263.812000000002</v>
      </c>
      <c r="G38" s="391"/>
      <c r="H38" s="392"/>
      <c r="I38" s="301"/>
      <c r="J38" s="301"/>
      <c r="K38" s="391"/>
    </row>
    <row r="39" spans="1:11" ht="14.45" customHeight="1" x14ac:dyDescent="0.2">
      <c r="A39" s="176"/>
      <c r="B39" s="996"/>
      <c r="C39" s="369"/>
      <c r="D39" s="175"/>
      <c r="E39" s="393"/>
      <c r="F39" s="393"/>
      <c r="G39" s="391"/>
      <c r="H39" s="392"/>
      <c r="I39" s="301"/>
      <c r="J39" s="301"/>
      <c r="K39" s="391"/>
    </row>
    <row r="40" spans="1:11" ht="14.45" customHeight="1" x14ac:dyDescent="0.2">
      <c r="A40" s="176"/>
      <c r="B40" s="996"/>
      <c r="C40" s="369"/>
      <c r="D40" s="175"/>
      <c r="E40" s="175"/>
      <c r="F40" s="175"/>
      <c r="G40" s="391"/>
      <c r="H40" s="392"/>
      <c r="I40" s="301"/>
      <c r="J40" s="301"/>
      <c r="K40" s="391"/>
    </row>
    <row r="41" spans="1:11" ht="14.45" customHeight="1" x14ac:dyDescent="0.2">
      <c r="A41" s="176"/>
      <c r="B41" s="996"/>
      <c r="C41" s="369"/>
      <c r="D41" s="175"/>
      <c r="E41" s="175"/>
      <c r="F41" s="175"/>
      <c r="G41" s="391"/>
      <c r="H41" s="392"/>
      <c r="I41" s="301"/>
      <c r="J41" s="301"/>
      <c r="K41" s="391"/>
    </row>
    <row r="42" spans="1:11" ht="14.45" customHeight="1" x14ac:dyDescent="0.2">
      <c r="A42" s="176"/>
      <c r="B42" s="996"/>
      <c r="C42" s="369"/>
      <c r="D42" s="175"/>
      <c r="E42" s="175"/>
      <c r="F42" s="175"/>
      <c r="G42" s="391"/>
      <c r="H42" s="392"/>
      <c r="I42" s="301"/>
      <c r="J42" s="301"/>
      <c r="K42" s="391"/>
    </row>
    <row r="43" spans="1:11" ht="14.45" customHeight="1" x14ac:dyDescent="0.2">
      <c r="A43" s="997"/>
      <c r="B43" s="997"/>
      <c r="C43" s="393"/>
      <c r="D43" s="368"/>
      <c r="E43" s="997"/>
      <c r="F43" s="997"/>
      <c r="G43" s="368"/>
      <c r="H43" s="394"/>
      <c r="I43" s="395"/>
      <c r="J43" s="301"/>
      <c r="K43" s="368"/>
    </row>
    <row r="44" spans="1:11" ht="14.45" customHeight="1" x14ac:dyDescent="0.25">
      <c r="A44" s="273"/>
      <c r="B44" s="128"/>
      <c r="C44" s="276"/>
      <c r="D44" s="276"/>
      <c r="E44" s="277"/>
      <c r="F44" s="276"/>
      <c r="G44" s="278"/>
      <c r="H44" s="998" t="s">
        <v>247</v>
      </c>
      <c r="I44" s="278"/>
      <c r="J44" s="278"/>
      <c r="K44" s="278"/>
    </row>
    <row r="45" spans="1:11" ht="14.45" customHeight="1" x14ac:dyDescent="0.25">
      <c r="A45" s="280"/>
      <c r="B45" s="281"/>
      <c r="C45" s="265"/>
      <c r="D45" s="265"/>
      <c r="E45" s="266" t="str">
        <f>E7</f>
        <v>Únor</v>
      </c>
      <c r="F45" s="267">
        <f>F7</f>
        <v>2015</v>
      </c>
      <c r="G45" s="267"/>
      <c r="H45" s="999"/>
      <c r="I45" s="401" t="str">
        <f>I7</f>
        <v>Únor</v>
      </c>
      <c r="J45" s="262">
        <f>J7</f>
        <v>2014</v>
      </c>
      <c r="K45" s="278"/>
    </row>
    <row r="46" spans="1:11" ht="14.45" customHeight="1" x14ac:dyDescent="0.2">
      <c r="A46" s="280"/>
      <c r="B46" s="375"/>
      <c r="C46" s="988" t="s">
        <v>96</v>
      </c>
      <c r="D46" s="969"/>
      <c r="E46" s="971" t="s">
        <v>246</v>
      </c>
      <c r="F46" s="939"/>
      <c r="G46" s="429"/>
      <c r="H46" s="999"/>
      <c r="I46" s="972" t="s">
        <v>246</v>
      </c>
      <c r="J46" s="939"/>
      <c r="K46" s="88"/>
    </row>
    <row r="47" spans="1:11" ht="12.95" customHeight="1" x14ac:dyDescent="0.2">
      <c r="A47" s="412"/>
      <c r="B47" s="375"/>
      <c r="C47" s="988"/>
      <c r="D47" s="969"/>
      <c r="E47" s="415" t="s">
        <v>69</v>
      </c>
      <c r="F47" s="377" t="s">
        <v>143</v>
      </c>
      <c r="G47" s="397" t="s">
        <v>144</v>
      </c>
      <c r="H47" s="999"/>
      <c r="I47" s="422" t="s">
        <v>69</v>
      </c>
      <c r="J47" s="377" t="s">
        <v>143</v>
      </c>
      <c r="K47" s="377" t="s">
        <v>144</v>
      </c>
    </row>
    <row r="48" spans="1:11" ht="12.95" customHeight="1" x14ac:dyDescent="0.2">
      <c r="A48" s="252"/>
      <c r="B48" s="376"/>
      <c r="C48" s="989"/>
      <c r="D48" s="970"/>
      <c r="E48" s="416" t="s">
        <v>14</v>
      </c>
      <c r="F48" s="268" t="s">
        <v>14</v>
      </c>
      <c r="G48" s="268" t="s">
        <v>14</v>
      </c>
      <c r="H48" s="414" t="s">
        <v>14</v>
      </c>
      <c r="I48" s="423" t="s">
        <v>14</v>
      </c>
      <c r="J48" s="268" t="s">
        <v>14</v>
      </c>
      <c r="K48" s="268" t="s">
        <v>14</v>
      </c>
    </row>
    <row r="49" spans="1:11" ht="14.45" customHeight="1" x14ac:dyDescent="0.2">
      <c r="A49" s="988" t="s">
        <v>4</v>
      </c>
      <c r="B49" s="988"/>
      <c r="C49" s="367"/>
      <c r="D49" s="256"/>
      <c r="E49" s="417"/>
      <c r="F49" s="367"/>
      <c r="G49" s="398"/>
      <c r="H49" s="413"/>
      <c r="I49" s="424"/>
      <c r="J49" s="367"/>
      <c r="K49" s="367"/>
    </row>
    <row r="50" spans="1:11" ht="14.45" customHeight="1" x14ac:dyDescent="0.2">
      <c r="A50" s="97"/>
      <c r="B50" s="97"/>
      <c r="C50" s="991" t="s">
        <v>72</v>
      </c>
      <c r="D50" s="992"/>
      <c r="E50" s="418">
        <f>INDEX([5]MZ!D21:BK21,1,5*T!$A$4-4)</f>
        <v>1.1821428571428572</v>
      </c>
      <c r="F50" s="404">
        <f>INDEX([5]MZ!E21:BL21,1,5*T!$A$4-4)</f>
        <v>4.8</v>
      </c>
      <c r="G50" s="405">
        <f>INDEX([5]MZ!F21:BM21,1,5*T!$A$4-4)</f>
        <v>-3.2</v>
      </c>
      <c r="H50" s="406">
        <f>E50-I50</f>
        <v>-2.1071428571428577</v>
      </c>
      <c r="I50" s="425">
        <f>INDEX([6]MZ!D21:BK21,1,5*T!$A$4-4)</f>
        <v>3.289285714285715</v>
      </c>
      <c r="J50" s="404">
        <f>INDEX([6]MZ!E21:BL21,1,5*T!$A$4-4)</f>
        <v>6.8</v>
      </c>
      <c r="K50" s="407">
        <f>INDEX([6]MZ!F21:BM21,1,5*T!$A$4-4)</f>
        <v>-0.3</v>
      </c>
    </row>
    <row r="51" spans="1:11" ht="14.45" customHeight="1" x14ac:dyDescent="0.2">
      <c r="A51" s="97"/>
      <c r="B51" s="97"/>
      <c r="C51" s="991" t="s">
        <v>73</v>
      </c>
      <c r="D51" s="992"/>
      <c r="E51" s="418">
        <f>INDEX([5]MZ!D22:BK22,1,5*T!$A$4-4)</f>
        <v>0.25773809523809554</v>
      </c>
      <c r="F51" s="404">
        <f>INDEX([5]MZ!E22:BL22,1,5*T!$A$4-4)</f>
        <v>3.7666666666666662</v>
      </c>
      <c r="G51" s="405">
        <f>INDEX([5]MZ!F22:BM22,1,5*T!$A$4-4)</f>
        <v>-3.85</v>
      </c>
      <c r="H51" s="406">
        <f t="shared" ref="H51:H54" si="3">E51-I51</f>
        <v>-2.1190476190476186</v>
      </c>
      <c r="I51" s="425">
        <f>INDEX([6]MZ!D22:BK22,1,5*T!$A$4-4)</f>
        <v>2.3767857142857141</v>
      </c>
      <c r="J51" s="404">
        <f>INDEX([6]MZ!E22:BL22,1,5*T!$A$4-4)</f>
        <v>5.0166666666666666</v>
      </c>
      <c r="K51" s="407">
        <f>INDEX([6]MZ!F22:BM22,1,5*T!$A$4-4)</f>
        <v>-1.7333333333333334</v>
      </c>
    </row>
    <row r="52" spans="1:11" ht="15.75" customHeight="1" x14ac:dyDescent="0.2">
      <c r="A52" s="294"/>
      <c r="B52" s="270"/>
      <c r="C52" s="991" t="s">
        <v>74</v>
      </c>
      <c r="D52" s="992"/>
      <c r="E52" s="418">
        <f>INDEX([5]MZ!D23:BK23,1,5*T!$A$4-4)</f>
        <v>-0.34285714285714325</v>
      </c>
      <c r="F52" s="404">
        <f>INDEX([5]MZ!E23:BL23,1,5*T!$A$4-4)</f>
        <v>2.7</v>
      </c>
      <c r="G52" s="405">
        <f>INDEX([5]MZ!F23:BM23,1,5*T!$A$4-4)</f>
        <v>-4.5</v>
      </c>
      <c r="H52" s="406">
        <f t="shared" si="3"/>
        <v>-1.9785714285714289</v>
      </c>
      <c r="I52" s="425">
        <f>INDEX([6]MZ!D23:BK23,1,5*T!$A$4-4)</f>
        <v>1.6357142857142857</v>
      </c>
      <c r="J52" s="404">
        <f>INDEX([6]MZ!E23:BL23,1,5*T!$A$4-4)</f>
        <v>4.7</v>
      </c>
      <c r="K52" s="407">
        <f>INDEX([6]MZ!F23:BM23,1,5*T!$A$4-4)</f>
        <v>-3.1</v>
      </c>
    </row>
    <row r="53" spans="1:11" ht="15" customHeight="1" x14ac:dyDescent="0.2">
      <c r="A53" s="294"/>
      <c r="B53" s="270"/>
      <c r="C53" s="991" t="s">
        <v>181</v>
      </c>
      <c r="D53" s="992"/>
      <c r="E53" s="418">
        <f>INDEX([5]MZ!D24:BK24,1,5*T!$A$4-4)</f>
        <v>0.22142857142857128</v>
      </c>
      <c r="F53" s="404">
        <f>INDEX([5]MZ!E24:BL24,1,5*T!$A$4-4)</f>
        <v>3.7</v>
      </c>
      <c r="G53" s="405">
        <f>INDEX([5]MZ!F24:BM24,1,5*T!$A$4-4)</f>
        <v>-3.9</v>
      </c>
      <c r="H53" s="406">
        <f t="shared" si="3"/>
        <v>-2.0714285714285721</v>
      </c>
      <c r="I53" s="425">
        <f>INDEX([6]MZ!D24:BK24,1,5*T!$A$4-4)</f>
        <v>2.2928571428571431</v>
      </c>
      <c r="J53" s="404">
        <f>INDEX([6]MZ!E24:BL24,1,5*T!$A$4-4)</f>
        <v>5</v>
      </c>
      <c r="K53" s="407">
        <f>INDEX([6]MZ!F24:BM24,1,5*T!$A$4-4)</f>
        <v>-1.9</v>
      </c>
    </row>
    <row r="54" spans="1:11" ht="15" customHeight="1" x14ac:dyDescent="0.2">
      <c r="A54" s="294"/>
      <c r="B54" s="270"/>
      <c r="C54" s="993" t="s">
        <v>5</v>
      </c>
      <c r="D54" s="994"/>
      <c r="E54" s="419">
        <f>INDEX([5]MZ!D25:BK25,1,5*T!$A$4-4)</f>
        <v>0.22142857142857128</v>
      </c>
      <c r="F54" s="408">
        <f>INDEX([5]MZ!E25:BL25,1,5*T!$A$4-4)</f>
        <v>3.7</v>
      </c>
      <c r="G54" s="409">
        <f>INDEX([5]MZ!F25:BM25,1,5*T!$A$4-4)</f>
        <v>-3.9</v>
      </c>
      <c r="H54" s="410">
        <f t="shared" si="3"/>
        <v>-2.0714285714285721</v>
      </c>
      <c r="I54" s="426">
        <f>INDEX([6]MZ!D25:BK25,1,5*T!$A$4-4)</f>
        <v>2.2928571428571431</v>
      </c>
      <c r="J54" s="408">
        <f>INDEX([6]MZ!E25:BL25,1,5*T!$A$4-4)</f>
        <v>5</v>
      </c>
      <c r="K54" s="411">
        <f>INDEX([6]MZ!F25:BM25,1,5*T!$A$4-4)</f>
        <v>-1.9</v>
      </c>
    </row>
    <row r="55" spans="1:11" ht="15" customHeight="1" x14ac:dyDescent="0.2">
      <c r="A55" s="294"/>
      <c r="B55" s="270"/>
      <c r="C55" s="259"/>
      <c r="D55" s="379"/>
      <c r="E55" s="420"/>
      <c r="F55" s="380"/>
      <c r="G55" s="399"/>
      <c r="H55" s="402"/>
      <c r="I55" s="427"/>
      <c r="J55" s="380"/>
      <c r="K55" s="396"/>
    </row>
    <row r="56" spans="1:11" ht="15" customHeight="1" x14ac:dyDescent="0.2">
      <c r="A56" s="982"/>
      <c r="B56" s="982"/>
      <c r="C56" s="982"/>
      <c r="D56" s="299"/>
      <c r="E56" s="421"/>
      <c r="F56" s="176"/>
      <c r="G56" s="400"/>
      <c r="H56" s="403"/>
      <c r="I56" s="428"/>
      <c r="J56" s="301"/>
      <c r="K56" s="176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C54:D54"/>
    <mergeCell ref="A56:C56"/>
    <mergeCell ref="I46:J46"/>
    <mergeCell ref="A49:B49"/>
    <mergeCell ref="C50:D50"/>
    <mergeCell ref="C51:D51"/>
    <mergeCell ref="C52:D52"/>
    <mergeCell ref="C53:D53"/>
    <mergeCell ref="A35:B35"/>
    <mergeCell ref="B38:B42"/>
    <mergeCell ref="A43:B43"/>
    <mergeCell ref="E43:F43"/>
    <mergeCell ref="H44:H47"/>
    <mergeCell ref="C46:D48"/>
    <mergeCell ref="E46:F46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J1:K1"/>
    <mergeCell ref="A3:K3"/>
    <mergeCell ref="D4:E4"/>
    <mergeCell ref="H6:H9"/>
    <mergeCell ref="C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73" t="s">
        <v>268</v>
      </c>
      <c r="K1" s="973"/>
    </row>
    <row r="2" spans="1:17" ht="6.75" customHeight="1" x14ac:dyDescent="0.2"/>
    <row r="3" spans="1:17" ht="30" customHeight="1" x14ac:dyDescent="0.2">
      <c r="A3" s="981" t="s">
        <v>232</v>
      </c>
      <c r="B3" s="981"/>
      <c r="C3" s="981"/>
      <c r="D3" s="981"/>
      <c r="E3" s="981"/>
      <c r="F3" s="981"/>
      <c r="G3" s="981"/>
      <c r="H3" s="981"/>
      <c r="I3" s="981"/>
      <c r="J3" s="981"/>
      <c r="K3" s="981"/>
    </row>
    <row r="4" spans="1:17" ht="16.5" customHeight="1" x14ac:dyDescent="0.2">
      <c r="B4" s="244"/>
      <c r="C4" s="244"/>
      <c r="D4" s="980" t="str">
        <f>T!G19</f>
        <v>Únor</v>
      </c>
      <c r="E4" s="980"/>
      <c r="F4" s="225">
        <f>T!I21</f>
        <v>2015</v>
      </c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83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D4</f>
        <v>Únor</v>
      </c>
      <c r="F7" s="267">
        <f>F4</f>
        <v>2015</v>
      </c>
      <c r="G7" s="267"/>
      <c r="H7" s="984"/>
      <c r="I7" s="282" t="str">
        <f>D4</f>
        <v>Únor</v>
      </c>
      <c r="J7" s="262">
        <f>F4-1</f>
        <v>2014</v>
      </c>
      <c r="K7" s="276"/>
    </row>
    <row r="8" spans="1:17" ht="14.1" customHeight="1" x14ac:dyDescent="0.2">
      <c r="A8" s="280"/>
      <c r="B8" s="978" t="s">
        <v>93</v>
      </c>
      <c r="C8" s="978"/>
      <c r="D8" s="969" t="s">
        <v>0</v>
      </c>
      <c r="E8" s="971" t="s">
        <v>71</v>
      </c>
      <c r="F8" s="939"/>
      <c r="G8" s="333" t="s">
        <v>226</v>
      </c>
      <c r="H8" s="984"/>
      <c r="I8" s="972" t="s">
        <v>71</v>
      </c>
      <c r="J8" s="939"/>
      <c r="K8" s="351" t="s">
        <v>226</v>
      </c>
    </row>
    <row r="9" spans="1:17" ht="14.1" customHeight="1" x14ac:dyDescent="0.2">
      <c r="A9" s="252"/>
      <c r="B9" s="979"/>
      <c r="C9" s="979"/>
      <c r="D9" s="970"/>
      <c r="E9" s="268" t="s">
        <v>15</v>
      </c>
      <c r="F9" s="268" t="s">
        <v>1</v>
      </c>
      <c r="G9" s="334" t="s">
        <v>128</v>
      </c>
      <c r="H9" s="985"/>
      <c r="I9" s="283" t="s">
        <v>15</v>
      </c>
      <c r="J9" s="268" t="s">
        <v>1</v>
      </c>
      <c r="K9" s="352" t="s">
        <v>128</v>
      </c>
    </row>
    <row r="10" spans="1:17" ht="12.95" customHeight="1" x14ac:dyDescent="0.2">
      <c r="A10" s="986" t="s">
        <v>233</v>
      </c>
      <c r="B10" s="986"/>
      <c r="C10" s="257"/>
      <c r="D10" s="256"/>
      <c r="E10" s="257"/>
      <c r="F10" s="257"/>
      <c r="G10" s="335"/>
      <c r="H10" s="317"/>
      <c r="I10" s="284"/>
      <c r="J10" s="257"/>
      <c r="K10" s="353"/>
    </row>
    <row r="11" spans="1:17" ht="14.1" customHeight="1" x14ac:dyDescent="0.2">
      <c r="A11" s="97"/>
      <c r="B11" s="97"/>
      <c r="C11" s="259" t="s">
        <v>6</v>
      </c>
      <c r="D11" s="247">
        <f>INDEX([2]Kraje!B3:AK3,1,3*T!$A$4-2)</f>
        <v>116</v>
      </c>
      <c r="E11" s="98">
        <f>INDEX([2]Kraje!C3:AL3,1,3*T!$A$4-2)</f>
        <v>10558.898000000001</v>
      </c>
      <c r="F11" s="98">
        <f>INDEX([2]Kraje!D3:AM3,1,3*T!$A$4-2)</f>
        <v>112100.795</v>
      </c>
      <c r="G11" s="336">
        <f>E11/$E$15</f>
        <v>0.30632423353869942</v>
      </c>
      <c r="H11" s="318">
        <f>(E11-I11)/I11</f>
        <v>0.1373115242577462</v>
      </c>
      <c r="I11" s="285">
        <f>INDEX([4]Kraje!C3:AL3,1,3*T!$A$4-2)</f>
        <v>9284.0859999999993</v>
      </c>
      <c r="J11" s="98">
        <f>INDEX([4]Kraje!D3:AM3,1,3*T!$A$4-2)</f>
        <v>98960.056999999986</v>
      </c>
      <c r="K11" s="354">
        <f>I11/$I$15</f>
        <v>0.31624646312400789</v>
      </c>
    </row>
    <row r="12" spans="1:17" ht="14.1" customHeight="1" x14ac:dyDescent="0.2">
      <c r="A12" s="97"/>
      <c r="B12" s="97"/>
      <c r="C12" s="259" t="s">
        <v>7</v>
      </c>
      <c r="D12" s="247">
        <f>INDEX([2]Kraje!B4:AK4,1,3*T!$A$4-2)</f>
        <v>308</v>
      </c>
      <c r="E12" s="98">
        <f>INDEX([2]Kraje!C4:AL4,1,3*T!$A$4-2)</f>
        <v>2137.2729999999997</v>
      </c>
      <c r="F12" s="98">
        <f>INDEX([2]Kraje!D4:AM4,1,3*T!$A$4-2)</f>
        <v>22692.558065999998</v>
      </c>
      <c r="G12" s="336">
        <f>E12/$E$15</f>
        <v>6.2004435840554241E-2</v>
      </c>
      <c r="H12" s="318">
        <f>(E12-I12)/I12</f>
        <v>-3.5427816838638257E-2</v>
      </c>
      <c r="I12" s="285">
        <f>INDEX([4]Kraje!C4:AL4,1,3*T!$A$4-2)</f>
        <v>2215.7729999999997</v>
      </c>
      <c r="J12" s="98">
        <f>INDEX([4]Kraje!D4:AM4,1,3*T!$A$4-2)</f>
        <v>23616.671279000002</v>
      </c>
      <c r="K12" s="354">
        <f>I12/$I$15</f>
        <v>7.5476506177955732E-2</v>
      </c>
      <c r="L12" s="286"/>
      <c r="M12" s="286"/>
      <c r="O12" s="286"/>
      <c r="P12" s="286"/>
      <c r="Q12" s="286"/>
    </row>
    <row r="13" spans="1:17" ht="14.1" customHeight="1" x14ac:dyDescent="0.2">
      <c r="A13" s="294"/>
      <c r="B13" s="270"/>
      <c r="C13" s="259" t="s">
        <v>8</v>
      </c>
      <c r="D13" s="247">
        <f>INDEX([2]Kraje!B5:AK5,1,3*T!$A$4-2)</f>
        <v>7262</v>
      </c>
      <c r="E13" s="98">
        <f>INDEX([2]Kraje!C5:AL5,1,3*T!$A$4-2)</f>
        <v>7025.8289759999998</v>
      </c>
      <c r="F13" s="98">
        <f>INDEX([2]Kraje!D5:AM5,1,3*T!$A$4-2)</f>
        <v>74593.286842000001</v>
      </c>
      <c r="G13" s="336">
        <f>E13/$E$15</f>
        <v>0.20382635347431</v>
      </c>
      <c r="H13" s="318">
        <f t="shared" ref="H13:H15" si="0">(E13-I13)/I13</f>
        <v>0.22158908076248682</v>
      </c>
      <c r="I13" s="285">
        <f>INDEX([4]Kraje!C5:AL5,1,3*T!$A$4-2)</f>
        <v>5751.3848859999998</v>
      </c>
      <c r="J13" s="98">
        <f>INDEX([4]Kraje!D5:AM5,1,3*T!$A$4-2)</f>
        <v>61304.102867999994</v>
      </c>
      <c r="K13" s="354">
        <f>I13/$I$15</f>
        <v>0.19591105987841725</v>
      </c>
      <c r="L13" s="286"/>
      <c r="M13" s="286"/>
      <c r="O13" s="286"/>
      <c r="P13" s="286"/>
      <c r="Q13" s="286"/>
    </row>
    <row r="14" spans="1:17" ht="14.1" customHeight="1" x14ac:dyDescent="0.2">
      <c r="A14" s="294"/>
      <c r="B14" s="270"/>
      <c r="C14" s="259" t="s">
        <v>9</v>
      </c>
      <c r="D14" s="247">
        <f>INDEX([2]Kraje!B6:AK6,1,3*T!$A$4-2)</f>
        <v>99704</v>
      </c>
      <c r="E14" s="98">
        <f>INDEX([2]Kraje!C6:AL6,1,3*T!$A$4-2)</f>
        <v>14747.679023999999</v>
      </c>
      <c r="F14" s="98">
        <f>INDEX([2]Kraje!D6:AM6,1,3*T!$A$4-2)</f>
        <v>156576.17415800001</v>
      </c>
      <c r="G14" s="336">
        <f>E14/$E$15</f>
        <v>0.42784497714643643</v>
      </c>
      <c r="H14" s="318">
        <f t="shared" si="0"/>
        <v>0.21822464137854261</v>
      </c>
      <c r="I14" s="285">
        <f>INDEX([4]Kraje!C6:AL6,1,3*T!$A$4-2)</f>
        <v>12105.878114000001</v>
      </c>
      <c r="J14" s="98">
        <f>INDEX([4]Kraje!D6:AM6,1,3*T!$A$4-2)</f>
        <v>129037.591132</v>
      </c>
      <c r="K14" s="354">
        <f>I14/$I$15</f>
        <v>0.41236597081961929</v>
      </c>
      <c r="L14" s="286"/>
      <c r="M14" s="286"/>
      <c r="O14" s="286"/>
      <c r="P14" s="286"/>
      <c r="Q14" s="286"/>
    </row>
    <row r="15" spans="1:17" ht="14.1" customHeight="1" x14ac:dyDescent="0.2">
      <c r="A15" s="294"/>
      <c r="B15" s="270"/>
      <c r="C15" s="261" t="s">
        <v>2</v>
      </c>
      <c r="D15" s="255">
        <f>SUM(D11:D14)</f>
        <v>107390</v>
      </c>
      <c r="E15" s="253">
        <f>SUM(E11:E14)</f>
        <v>34469.678999999996</v>
      </c>
      <c r="F15" s="254">
        <f>SUM(F11:F14)</f>
        <v>365962.81406599999</v>
      </c>
      <c r="G15" s="338">
        <f>SUM(G11:G14)</f>
        <v>1</v>
      </c>
      <c r="H15" s="320">
        <f t="shared" si="0"/>
        <v>0.17415048382467468</v>
      </c>
      <c r="I15" s="288">
        <f>SUM(I11:I14)</f>
        <v>29357.121999999996</v>
      </c>
      <c r="J15" s="254">
        <f>SUM(J11:J14)</f>
        <v>312918.42227899999</v>
      </c>
      <c r="K15" s="356">
        <f>SUM(K11:K14)</f>
        <v>1.0000000000000002</v>
      </c>
      <c r="L15" s="286"/>
      <c r="M15" s="286"/>
    </row>
    <row r="16" spans="1:17" ht="12.95" customHeight="1" x14ac:dyDescent="0.2">
      <c r="A16" s="294"/>
      <c r="B16" s="270"/>
      <c r="C16" s="295"/>
      <c r="D16" s="296"/>
      <c r="E16" s="295"/>
      <c r="F16" s="295"/>
      <c r="G16" s="339"/>
      <c r="H16" s="321"/>
      <c r="I16" s="297"/>
      <c r="J16" s="298"/>
      <c r="K16" s="357"/>
      <c r="L16" s="286"/>
      <c r="M16" s="286"/>
    </row>
    <row r="17" spans="1:21" ht="12.95" customHeight="1" x14ac:dyDescent="0.2">
      <c r="A17" s="986" t="s">
        <v>234</v>
      </c>
      <c r="B17" s="986"/>
      <c r="C17" s="257"/>
      <c r="D17" s="256"/>
      <c r="E17" s="257"/>
      <c r="F17" s="257"/>
      <c r="G17" s="335"/>
      <c r="H17" s="366"/>
      <c r="I17" s="284"/>
      <c r="J17" s="257"/>
      <c r="K17" s="353"/>
      <c r="L17" s="286"/>
      <c r="M17" s="286"/>
    </row>
    <row r="18" spans="1:21" ht="14.1" customHeight="1" x14ac:dyDescent="0.2">
      <c r="A18" s="97"/>
      <c r="B18" s="97"/>
      <c r="C18" s="259" t="s">
        <v>6</v>
      </c>
      <c r="D18" s="247">
        <f>INDEX([2]Kraje!B9:AK9,1,3*T!$A$4-2)</f>
        <v>193</v>
      </c>
      <c r="E18" s="98">
        <f>INDEX([2]Kraje!C9:AL9,1,3*T!$A$4-2)</f>
        <v>49680.1</v>
      </c>
      <c r="F18" s="98">
        <f>INDEX([2]Kraje!D9:AM9,1,3*T!$A$4-2)</f>
        <v>528467.67168400018</v>
      </c>
      <c r="G18" s="336">
        <f>E18/$E$22</f>
        <v>0.3402112757075394</v>
      </c>
      <c r="H18" s="318">
        <f>(E18-I18)/I18</f>
        <v>0.11497856677963056</v>
      </c>
      <c r="I18" s="285">
        <f>INDEX([4]Kraje!C9:AL9,1,3*T!$A$4-2)</f>
        <v>44557</v>
      </c>
      <c r="J18" s="98">
        <f>INDEX([4]Kraje!D9:AM9,1,3*T!$A$4-2)</f>
        <v>474023.31414900022</v>
      </c>
      <c r="K18" s="354">
        <f>I18/$I$22</f>
        <v>0.34610819561090345</v>
      </c>
      <c r="L18" s="286"/>
      <c r="M18" s="286"/>
      <c r="N18" s="286"/>
    </row>
    <row r="19" spans="1:21" ht="14.1" customHeight="1" x14ac:dyDescent="0.2">
      <c r="A19" s="97"/>
      <c r="B19" s="97"/>
      <c r="C19" s="259" t="s">
        <v>7</v>
      </c>
      <c r="D19" s="247">
        <f>INDEX([2]Kraje!B10:AK10,1,3*T!$A$4-2)</f>
        <v>946</v>
      </c>
      <c r="E19" s="98">
        <f>INDEX([2]Kraje!C10:AL10,1,3*T!$A$4-2)</f>
        <v>14890.5</v>
      </c>
      <c r="F19" s="98">
        <f>INDEX([2]Kraje!D10:AM10,1,3*T!$A$4-2)</f>
        <v>158396.5142429999</v>
      </c>
      <c r="G19" s="336">
        <f t="shared" ref="G19:G20" si="1">E19/$E$22</f>
        <v>0.10197072874094688</v>
      </c>
      <c r="H19" s="318">
        <f>(E19-I19)/I19</f>
        <v>0.12096027462228139</v>
      </c>
      <c r="I19" s="285">
        <f>INDEX([4]Kraje!C10:AL10,1,3*T!$A$4-2)</f>
        <v>13283.7</v>
      </c>
      <c r="J19" s="98">
        <f>INDEX([4]Kraje!D10:AM10,1,3*T!$A$4-2)</f>
        <v>141320.23673399998</v>
      </c>
      <c r="K19" s="354">
        <f t="shared" ref="K19:K21" si="2">I19/$I$22</f>
        <v>0.1031846272872177</v>
      </c>
      <c r="L19" s="289"/>
      <c r="M19" s="289"/>
      <c r="N19" s="286"/>
    </row>
    <row r="20" spans="1:21" ht="14.1" customHeight="1" x14ac:dyDescent="0.2">
      <c r="A20" s="294"/>
      <c r="B20" s="270"/>
      <c r="C20" s="259" t="s">
        <v>8</v>
      </c>
      <c r="D20" s="247">
        <f>INDEX([2]Kraje!B11:AK11,1,3*T!$A$4-2)</f>
        <v>23870</v>
      </c>
      <c r="E20" s="98">
        <f>INDEX([2]Kraje!C11:AL11,1,3*T!$A$4-2)</f>
        <v>21820.5</v>
      </c>
      <c r="F20" s="98">
        <f>INDEX([2]Kraje!D11:AM11,1,3*T!$A$4-2)</f>
        <v>232113.5</v>
      </c>
      <c r="G20" s="336">
        <f t="shared" si="1"/>
        <v>0.14942764087786384</v>
      </c>
      <c r="H20" s="318">
        <f t="shared" ref="H20:H22" si="3">(E20-I20)/I20</f>
        <v>0.13691071651869455</v>
      </c>
      <c r="I20" s="285">
        <f>INDEX([4]Kraje!C11:AL11,1,3*T!$A$4-2)</f>
        <v>19192.8</v>
      </c>
      <c r="J20" s="98">
        <f>INDEX([4]Kraje!D11:AM11,1,3*T!$A$4-2)</f>
        <v>204184.3</v>
      </c>
      <c r="K20" s="354">
        <f>I20/$I$22</f>
        <v>0.14908511292773186</v>
      </c>
      <c r="L20" s="286"/>
      <c r="M20" s="286"/>
      <c r="N20" s="286"/>
      <c r="O20" s="286"/>
      <c r="P20" s="286"/>
    </row>
    <row r="21" spans="1:21" ht="14.1" customHeight="1" x14ac:dyDescent="0.2">
      <c r="A21" s="294"/>
      <c r="B21" s="270"/>
      <c r="C21" s="259" t="s">
        <v>9</v>
      </c>
      <c r="D21" s="247">
        <f>INDEX([2]Kraje!B12:AK12,1,3*T!$A$4-2)</f>
        <v>362171</v>
      </c>
      <c r="E21" s="98">
        <f>INDEX([2]Kraje!C12:AL12,1,3*T!$A$4-2)</f>
        <v>59636.1</v>
      </c>
      <c r="F21" s="98">
        <f>INDEX([2]Kraje!D12:AM12,1,3*T!$A$4-2)</f>
        <v>634373.69999999995</v>
      </c>
      <c r="G21" s="336">
        <f>E21/$E$22</f>
        <v>0.40839035467364981</v>
      </c>
      <c r="H21" s="318">
        <f t="shared" si="3"/>
        <v>0.15342035482953834</v>
      </c>
      <c r="I21" s="285">
        <f>INDEX([4]Kraje!C12:AL12,1,3*T!$A$4-2)</f>
        <v>51703.7</v>
      </c>
      <c r="J21" s="98">
        <f>INDEX([4]Kraje!D12:AM12,1,3*T!$A$4-2)</f>
        <v>550054.19999999995</v>
      </c>
      <c r="K21" s="354">
        <f t="shared" si="2"/>
        <v>0.40162206417414703</v>
      </c>
      <c r="L21" s="286"/>
      <c r="M21" s="286"/>
      <c r="N21" s="286"/>
      <c r="O21" s="286"/>
      <c r="P21" s="286"/>
    </row>
    <row r="22" spans="1:21" ht="14.1" customHeight="1" x14ac:dyDescent="0.2">
      <c r="A22" s="294"/>
      <c r="B22" s="270"/>
      <c r="C22" s="261" t="s">
        <v>2</v>
      </c>
      <c r="D22" s="255">
        <f>SUM(D18:D21)</f>
        <v>387180</v>
      </c>
      <c r="E22" s="253">
        <f>SUM(E18:E21)</f>
        <v>146027.20000000001</v>
      </c>
      <c r="F22" s="254">
        <f>SUM(F18:F21)</f>
        <v>1553351.3859270001</v>
      </c>
      <c r="G22" s="338">
        <f>SUM(G18:G21)</f>
        <v>0.99999999999999989</v>
      </c>
      <c r="H22" s="320">
        <f t="shared" si="3"/>
        <v>0.13430461436166091</v>
      </c>
      <c r="I22" s="288">
        <f>SUM(I18:I21)</f>
        <v>128737.2</v>
      </c>
      <c r="J22" s="254">
        <f>SUM(J18:J21)</f>
        <v>1369582.0508830003</v>
      </c>
      <c r="K22" s="356">
        <f>SUM(K18:K21)</f>
        <v>1</v>
      </c>
      <c r="L22" s="286"/>
      <c r="M22" s="286"/>
      <c r="N22" s="286"/>
      <c r="O22" s="286"/>
      <c r="P22" s="286"/>
    </row>
    <row r="23" spans="1:21" ht="12.95" customHeight="1" x14ac:dyDescent="0.2">
      <c r="A23" s="294"/>
      <c r="B23" s="270"/>
      <c r="C23" s="295"/>
      <c r="D23" s="296"/>
      <c r="E23" s="295"/>
      <c r="F23" s="295"/>
      <c r="G23" s="339"/>
      <c r="H23" s="321"/>
      <c r="I23" s="297"/>
      <c r="J23" s="298"/>
      <c r="K23" s="357"/>
      <c r="L23" s="286"/>
      <c r="M23" s="286"/>
      <c r="N23" s="286"/>
      <c r="O23" s="286"/>
      <c r="P23" s="286"/>
    </row>
    <row r="24" spans="1:21" ht="12.95" customHeight="1" x14ac:dyDescent="0.2">
      <c r="A24" s="986" t="s">
        <v>235</v>
      </c>
      <c r="B24" s="986"/>
      <c r="C24" s="257"/>
      <c r="D24" s="256"/>
      <c r="E24" s="257"/>
      <c r="F24" s="257"/>
      <c r="G24" s="335"/>
      <c r="H24" s="366"/>
      <c r="I24" s="284"/>
      <c r="J24" s="257"/>
      <c r="K24" s="353"/>
      <c r="L24" s="286"/>
      <c r="M24" s="286"/>
      <c r="N24" s="286"/>
      <c r="O24" s="286"/>
      <c r="P24" s="286"/>
    </row>
    <row r="25" spans="1:21" ht="14.1" customHeight="1" x14ac:dyDescent="0.2">
      <c r="A25" s="97"/>
      <c r="B25" s="97"/>
      <c r="C25" s="259" t="s">
        <v>6</v>
      </c>
      <c r="D25" s="247">
        <f>INDEX([2]Kraje!B15:AK15,1,3*T!$A$4-2)</f>
        <v>50</v>
      </c>
      <c r="E25" s="98">
        <f>INDEX([2]Kraje!C15:AL15,1,3*T!$A$4-2)</f>
        <v>10034.1</v>
      </c>
      <c r="F25" s="98">
        <f>INDEX([2]Kraje!D15:AM15,1,3*T!$A$4-2)</f>
        <v>106736.93180200002</v>
      </c>
      <c r="G25" s="336">
        <f>E25/$E$29</f>
        <v>0.39193253546653339</v>
      </c>
      <c r="H25" s="318">
        <f>(E25-I25)/I25</f>
        <v>4.8101027826522938E-2</v>
      </c>
      <c r="I25" s="285">
        <f>INDEX([4]Kraje!C15:AL15,1,3*T!$A$4-2)</f>
        <v>9573.6</v>
      </c>
      <c r="J25" s="98">
        <f>INDEX([4]Kraje!D15:AM15,1,3*T!$A$4-2)</f>
        <v>101849.84279499996</v>
      </c>
      <c r="K25" s="354">
        <f>I25/$I$29</f>
        <v>0.4110799565458223</v>
      </c>
      <c r="L25" s="98"/>
      <c r="M25" s="98"/>
      <c r="N25" s="98"/>
      <c r="O25" s="98"/>
      <c r="P25" s="98"/>
      <c r="Q25" s="98"/>
      <c r="R25" s="98"/>
      <c r="S25" s="98"/>
      <c r="T25" s="98"/>
      <c r="U25" s="98"/>
    </row>
    <row r="26" spans="1:21" ht="14.1" customHeight="1" x14ac:dyDescent="0.2">
      <c r="A26" s="97"/>
      <c r="B26" s="97"/>
      <c r="C26" s="259" t="s">
        <v>7</v>
      </c>
      <c r="D26" s="247">
        <f>INDEX([2]Kraje!B16:AK16,1,3*T!$A$4-2)</f>
        <v>194</v>
      </c>
      <c r="E26" s="98">
        <f>INDEX([2]Kraje!C16:AL16,1,3*T!$A$4-2)</f>
        <v>2989.6</v>
      </c>
      <c r="F26" s="98">
        <f>INDEX([2]Kraje!D16:AM16,1,3*T!$A$4-2)</f>
        <v>31801.094799999981</v>
      </c>
      <c r="G26" s="336">
        <f t="shared" ref="G26:G28" si="4">E26/$E$29</f>
        <v>0.11677395162802325</v>
      </c>
      <c r="H26" s="318">
        <f t="shared" ref="H26:H29" si="5">(E26-I26)/I26</f>
        <v>0.14469502622812733</v>
      </c>
      <c r="I26" s="285">
        <f>INDEX([4]Kraje!C16:AL16,1,3*T!$A$4-2)</f>
        <v>2611.6999999999998</v>
      </c>
      <c r="J26" s="98">
        <f>INDEX([4]Kraje!D16:AM16,1,3*T!$A$4-2)</f>
        <v>27784.821741000003</v>
      </c>
      <c r="K26" s="354">
        <f t="shared" ref="K26:K27" si="6">I26/$I$29</f>
        <v>0.11214355336662531</v>
      </c>
      <c r="L26" s="98"/>
      <c r="M26" s="98"/>
      <c r="N26" s="98"/>
      <c r="O26" s="98"/>
      <c r="P26" s="98"/>
      <c r="Q26" s="98"/>
      <c r="R26" s="98"/>
      <c r="S26" s="98"/>
      <c r="T26" s="98"/>
      <c r="U26" s="98"/>
    </row>
    <row r="27" spans="1:21" ht="14.1" customHeight="1" x14ac:dyDescent="0.2">
      <c r="A27" s="294"/>
      <c r="B27" s="270"/>
      <c r="C27" s="259" t="s">
        <v>8</v>
      </c>
      <c r="D27" s="247">
        <f>INDEX([2]Kraje!B17:AK17,1,3*T!$A$4-2)</f>
        <v>5988</v>
      </c>
      <c r="E27" s="98">
        <f>INDEX([2]Kraje!C17:AL17,1,3*T!$A$4-2)</f>
        <v>5238.8</v>
      </c>
      <c r="F27" s="98">
        <f>INDEX([2]Kraje!D17:AM17,1,3*T!$A$4-2)</f>
        <v>55727</v>
      </c>
      <c r="G27" s="336">
        <f t="shared" si="4"/>
        <v>0.204627835760265</v>
      </c>
      <c r="H27" s="318">
        <f t="shared" si="5"/>
        <v>0.11956916632829696</v>
      </c>
      <c r="I27" s="285">
        <f>INDEX([4]Kraje!C17:AL17,1,3*T!$A$4-2)</f>
        <v>4679.3</v>
      </c>
      <c r="J27" s="98">
        <f>INDEX([4]Kraje!D17:AM17,1,3*T!$A$4-2)</f>
        <v>49781.2</v>
      </c>
      <c r="K27" s="354">
        <f t="shared" si="6"/>
        <v>0.20092404536066541</v>
      </c>
      <c r="L27" s="98"/>
      <c r="M27" s="98"/>
      <c r="N27" s="98"/>
      <c r="O27" s="98"/>
      <c r="P27" s="98"/>
      <c r="Q27" s="98"/>
      <c r="R27" s="98"/>
      <c r="S27" s="98"/>
      <c r="T27" s="98"/>
      <c r="U27" s="98"/>
    </row>
    <row r="28" spans="1:21" ht="14.1" customHeight="1" x14ac:dyDescent="0.2">
      <c r="A28" s="294"/>
      <c r="B28" s="270"/>
      <c r="C28" s="259" t="s">
        <v>9</v>
      </c>
      <c r="D28" s="247">
        <f>INDEX([2]Kraje!B18:AK18,1,3*T!$A$4-2)</f>
        <v>80049</v>
      </c>
      <c r="E28" s="98">
        <f>INDEX([2]Kraje!C18:AL18,1,3*T!$A$4-2)</f>
        <v>7339.1</v>
      </c>
      <c r="F28" s="98">
        <f>INDEX([2]Kraje!D18:AM18,1,3*T!$A$4-2)</f>
        <v>78068.600000000006</v>
      </c>
      <c r="G28" s="336">
        <f t="shared" si="4"/>
        <v>0.28666567714517843</v>
      </c>
      <c r="H28" s="318">
        <f t="shared" si="5"/>
        <v>0.14239683700947967</v>
      </c>
      <c r="I28" s="285">
        <f>INDEX([4]Kraje!C18:AL18,1,3*T!$A$4-2)</f>
        <v>6424.3</v>
      </c>
      <c r="J28" s="98">
        <f>INDEX([4]Kraje!D18:AM18,1,3*T!$A$4-2)</f>
        <v>68345.7</v>
      </c>
      <c r="K28" s="354">
        <f>I28/$I$29</f>
        <v>0.27585244472688708</v>
      </c>
      <c r="L28" s="98"/>
      <c r="M28" s="98"/>
      <c r="N28" s="98"/>
      <c r="O28" s="98"/>
      <c r="P28" s="98"/>
      <c r="Q28" s="98"/>
      <c r="R28" s="98"/>
      <c r="S28" s="98"/>
      <c r="T28" s="98"/>
      <c r="U28" s="98"/>
    </row>
    <row r="29" spans="1:21" ht="14.1" customHeight="1" x14ac:dyDescent="0.2">
      <c r="A29" s="294"/>
      <c r="B29" s="270"/>
      <c r="C29" s="261" t="s">
        <v>2</v>
      </c>
      <c r="D29" s="255">
        <f>SUM(D25:D28)</f>
        <v>86281</v>
      </c>
      <c r="E29" s="253">
        <f>SUM(E25:E28)</f>
        <v>25601.599999999999</v>
      </c>
      <c r="F29" s="254">
        <f>SUM(F25:F28)</f>
        <v>272333.62660199997</v>
      </c>
      <c r="G29" s="338">
        <f>SUM(G25:G28)</f>
        <v>1</v>
      </c>
      <c r="H29" s="320">
        <f t="shared" si="5"/>
        <v>9.930481903396042E-2</v>
      </c>
      <c r="I29" s="288">
        <f>SUM(I25:I28)</f>
        <v>23288.899999999998</v>
      </c>
      <c r="J29" s="254">
        <f>SUM(J25:J28)</f>
        <v>247761.56453599996</v>
      </c>
      <c r="K29" s="356">
        <f>SUM(K25:K28)</f>
        <v>1</v>
      </c>
    </row>
    <row r="30" spans="1:21" ht="12.95" customHeight="1" x14ac:dyDescent="0.2">
      <c r="A30" s="294"/>
      <c r="B30" s="270"/>
      <c r="C30" s="295"/>
      <c r="D30" s="296"/>
      <c r="E30" s="295"/>
      <c r="F30" s="295"/>
      <c r="G30" s="339"/>
      <c r="H30" s="321"/>
      <c r="I30" s="297"/>
      <c r="J30" s="298"/>
      <c r="K30" s="357"/>
    </row>
    <row r="31" spans="1:21" ht="12.95" customHeight="1" x14ac:dyDescent="0.2">
      <c r="A31" s="986" t="s">
        <v>236</v>
      </c>
      <c r="B31" s="986"/>
      <c r="C31" s="257"/>
      <c r="D31" s="256"/>
      <c r="E31" s="257"/>
      <c r="F31" s="257"/>
      <c r="G31" s="335"/>
      <c r="H31" s="366"/>
      <c r="I31" s="284"/>
      <c r="J31" s="257"/>
      <c r="K31" s="353"/>
    </row>
    <row r="32" spans="1:21" ht="14.1" customHeight="1" x14ac:dyDescent="0.2">
      <c r="A32" s="97"/>
      <c r="B32" s="97"/>
      <c r="C32" s="259" t="s">
        <v>6</v>
      </c>
      <c r="D32" s="247">
        <f>INDEX([2]Kraje!B21:AK21,1,3*T!$A$4-2)</f>
        <v>80</v>
      </c>
      <c r="E32" s="98">
        <f>INDEX([2]Kraje!C21:AL21,1,3*T!$A$4-2)</f>
        <v>12624.3</v>
      </c>
      <c r="F32" s="98">
        <f>INDEX([2]Kraje!D21:AM21,1,3*T!$A$4-2)</f>
        <v>134289.88596000004</v>
      </c>
      <c r="G32" s="336">
        <f>E32/$E$36</f>
        <v>0.31136438188585064</v>
      </c>
      <c r="H32" s="318">
        <f>(E32-I32)/I32</f>
        <v>7.4746941590117744E-2</v>
      </c>
      <c r="I32" s="285">
        <f>INDEX([4]Kraje!C21:AL21,1,3*T!$A$4-2)</f>
        <v>11746.3</v>
      </c>
      <c r="J32" s="98">
        <f>INDEX([4]Kraje!D21:AM21,1,3*T!$A$4-2)</f>
        <v>124963.79801200001</v>
      </c>
      <c r="K32" s="354">
        <f>I32/$I$36</f>
        <v>0.3146181475340899</v>
      </c>
    </row>
    <row r="33" spans="1:11" ht="14.1" customHeight="1" x14ac:dyDescent="0.2">
      <c r="A33" s="97"/>
      <c r="B33" s="97"/>
      <c r="C33" s="259" t="s">
        <v>7</v>
      </c>
      <c r="D33" s="247">
        <f>INDEX([2]Kraje!B22:AK22,1,3*T!$A$4-2)</f>
        <v>263</v>
      </c>
      <c r="E33" s="98">
        <f>INDEX([2]Kraje!C22:AL22,1,3*T!$A$4-2)</f>
        <v>3916.6</v>
      </c>
      <c r="F33" s="98">
        <f>INDEX([2]Kraje!D22:AM22,1,3*T!$A$4-2)</f>
        <v>41662.740229000032</v>
      </c>
      <c r="G33" s="336">
        <f t="shared" ref="G33:G35" si="7">E33/$E$36</f>
        <v>9.6598602543833928E-2</v>
      </c>
      <c r="H33" s="318">
        <f t="shared" ref="H33:H36" si="8">(E33-I33)/I33</f>
        <v>0.14587478057343473</v>
      </c>
      <c r="I33" s="285">
        <f>INDEX([4]Kraje!C22:AL22,1,3*T!$A$4-2)</f>
        <v>3418</v>
      </c>
      <c r="J33" s="98">
        <f>INDEX([4]Kraje!D22:AM22,1,3*T!$A$4-2)</f>
        <v>36362.661292999997</v>
      </c>
      <c r="K33" s="354">
        <f t="shared" ref="K33:K35" si="9">I33/$I$36</f>
        <v>9.1549239187788442E-2</v>
      </c>
    </row>
    <row r="34" spans="1:11" ht="14.1" customHeight="1" x14ac:dyDescent="0.2">
      <c r="A34" s="294"/>
      <c r="B34" s="270"/>
      <c r="C34" s="259" t="s">
        <v>8</v>
      </c>
      <c r="D34" s="247">
        <f>INDEX([2]Kraje!B23:AK23,1,3*T!$A$4-2)</f>
        <v>9429</v>
      </c>
      <c r="E34" s="98">
        <f>INDEX([2]Kraje!C23:AL23,1,3*T!$A$4-2)</f>
        <v>8220.4</v>
      </c>
      <c r="F34" s="98">
        <f>INDEX([2]Kraje!D23:AM23,1,3*T!$A$4-2)</f>
        <v>87444</v>
      </c>
      <c r="G34" s="336">
        <f t="shared" si="7"/>
        <v>0.20274706438015941</v>
      </c>
      <c r="H34" s="318">
        <f t="shared" si="8"/>
        <v>6.5854132901134468E-2</v>
      </c>
      <c r="I34" s="285">
        <f>INDEX([4]Kraje!C23:AL23,1,3*T!$A$4-2)</f>
        <v>7712.5</v>
      </c>
      <c r="J34" s="98">
        <f>INDEX([4]Kraje!D23:AM23,1,3*T!$A$4-2)</f>
        <v>82050.100000000006</v>
      </c>
      <c r="K34" s="354">
        <f t="shared" si="9"/>
        <v>0.2065750460022874</v>
      </c>
    </row>
    <row r="35" spans="1:11" ht="14.1" customHeight="1" x14ac:dyDescent="0.2">
      <c r="A35" s="294"/>
      <c r="B35" s="270"/>
      <c r="C35" s="259" t="s">
        <v>9</v>
      </c>
      <c r="D35" s="247">
        <f>INDEX([2]Kraje!B24:AK24,1,3*T!$A$4-2)</f>
        <v>108944</v>
      </c>
      <c r="E35" s="98">
        <f>INDEX([2]Kraje!C24:AL24,1,3*T!$A$4-2)</f>
        <v>15783.8</v>
      </c>
      <c r="F35" s="98">
        <f>INDEX([2]Kraje!D24:AM24,1,3*T!$A$4-2)</f>
        <v>167898.7</v>
      </c>
      <c r="G35" s="336">
        <f t="shared" si="7"/>
        <v>0.38928995119015619</v>
      </c>
      <c r="H35" s="318">
        <f t="shared" si="8"/>
        <v>9.1677444789498075E-2</v>
      </c>
      <c r="I35" s="285">
        <f>INDEX([4]Kraje!C24:AL24,1,3*T!$A$4-2)</f>
        <v>14458.3</v>
      </c>
      <c r="J35" s="98">
        <f>INDEX([4]Kraje!D24:AM24,1,3*T!$A$4-2)</f>
        <v>153815.79999999999</v>
      </c>
      <c r="K35" s="354">
        <f t="shared" si="9"/>
        <v>0.38725756727583427</v>
      </c>
    </row>
    <row r="36" spans="1:11" ht="14.1" customHeight="1" x14ac:dyDescent="0.2">
      <c r="A36" s="294"/>
      <c r="B36" s="270"/>
      <c r="C36" s="261" t="s">
        <v>2</v>
      </c>
      <c r="D36" s="255">
        <f>SUM(D32:D35)</f>
        <v>118716</v>
      </c>
      <c r="E36" s="253">
        <f>SUM(E32:E35)</f>
        <v>40545.099999999991</v>
      </c>
      <c r="F36" s="254">
        <f>SUM(F32:F35)</f>
        <v>431295.3261890001</v>
      </c>
      <c r="G36" s="338">
        <f>SUM(G32:G35)</f>
        <v>1.0000000000000002</v>
      </c>
      <c r="H36" s="320">
        <f t="shared" si="8"/>
        <v>8.5978074251843242E-2</v>
      </c>
      <c r="I36" s="288">
        <f>SUM(I32:I35)</f>
        <v>37335.1</v>
      </c>
      <c r="J36" s="254">
        <f>SUM(J32:J35)</f>
        <v>397192.35930500005</v>
      </c>
      <c r="K36" s="356">
        <f>SUM(K32:K35)</f>
        <v>1</v>
      </c>
    </row>
    <row r="37" spans="1:11" ht="12.95" customHeight="1" x14ac:dyDescent="0.2">
      <c r="A37" s="294"/>
      <c r="B37" s="270"/>
      <c r="C37" s="295"/>
      <c r="D37" s="296"/>
      <c r="E37" s="295"/>
      <c r="F37" s="295"/>
      <c r="G37" s="339"/>
      <c r="H37" s="321"/>
      <c r="I37" s="297"/>
      <c r="J37" s="298"/>
      <c r="K37" s="357"/>
    </row>
    <row r="38" spans="1:11" ht="12.95" customHeight="1" x14ac:dyDescent="0.2">
      <c r="A38" s="986" t="s">
        <v>237</v>
      </c>
      <c r="B38" s="986"/>
      <c r="C38" s="257"/>
      <c r="D38" s="256"/>
      <c r="E38" s="257"/>
      <c r="F38" s="257"/>
      <c r="G38" s="335"/>
      <c r="H38" s="366"/>
      <c r="I38" s="284"/>
      <c r="J38" s="257"/>
      <c r="K38" s="353"/>
    </row>
    <row r="39" spans="1:11" ht="14.1" customHeight="1" x14ac:dyDescent="0.2">
      <c r="A39" s="97"/>
      <c r="B39" s="97"/>
      <c r="C39" s="259" t="s">
        <v>6</v>
      </c>
      <c r="D39" s="247">
        <f>INDEX([2]Kraje!B27:AK27,1,3*T!$A$4-2)</f>
        <v>92</v>
      </c>
      <c r="E39" s="98">
        <f>INDEX([2]Kraje!C27:AL27,1,3*T!$A$4-2)</f>
        <v>18458.5</v>
      </c>
      <c r="F39" s="98">
        <f>INDEX([2]Kraje!D27:AM27,1,3*T!$A$4-2)</f>
        <v>196350.45570699996</v>
      </c>
      <c r="G39" s="336">
        <f>E39/$E$43</f>
        <v>0.42387145960493622</v>
      </c>
      <c r="H39" s="318">
        <f>(E39-I39)/I39</f>
        <v>5.4813621116273269E-2</v>
      </c>
      <c r="I39" s="285">
        <f>INDEX([4]Kraje!C27:AL27,1,3*T!$A$4-2)</f>
        <v>17499.3</v>
      </c>
      <c r="J39" s="98">
        <f>INDEX([4]Kraje!D27:AM27,1,3*T!$A$4-2)</f>
        <v>186168.0403109999</v>
      </c>
      <c r="K39" s="354">
        <f>I39/$I$43</f>
        <v>0.44239641821532677</v>
      </c>
    </row>
    <row r="40" spans="1:11" ht="14.1" customHeight="1" x14ac:dyDescent="0.2">
      <c r="A40" s="97"/>
      <c r="B40" s="97"/>
      <c r="C40" s="259" t="s">
        <v>7</v>
      </c>
      <c r="D40" s="247">
        <f>INDEX([2]Kraje!B28:AK28,1,3*T!$A$4-2)</f>
        <v>308</v>
      </c>
      <c r="E40" s="98">
        <f>INDEX([2]Kraje!C28:AL28,1,3*T!$A$4-2)</f>
        <v>4951.3999999999996</v>
      </c>
      <c r="F40" s="98">
        <f>INDEX([2]Kraje!D28:AM28,1,3*T!$A$4-2)</f>
        <v>52670.536578000021</v>
      </c>
      <c r="G40" s="336">
        <f>E40/$E$43</f>
        <v>0.11370139204636785</v>
      </c>
      <c r="H40" s="318">
        <f t="shared" ref="H40:H43" si="10">(E40-I40)/I40</f>
        <v>0.11701671667381051</v>
      </c>
      <c r="I40" s="285">
        <f>INDEX([4]Kraje!C28:AL28,1,3*T!$A$4-2)</f>
        <v>4432.7</v>
      </c>
      <c r="J40" s="98">
        <f>INDEX([4]Kraje!D28:AM28,1,3*T!$A$4-2)</f>
        <v>47157.174960999982</v>
      </c>
      <c r="K40" s="354">
        <f t="shared" ref="K40:K41" si="11">I40/$I$43</f>
        <v>0.11206223123342528</v>
      </c>
    </row>
    <row r="41" spans="1:11" ht="14.1" customHeight="1" x14ac:dyDescent="0.2">
      <c r="A41" s="294"/>
      <c r="B41" s="270"/>
      <c r="C41" s="259" t="s">
        <v>8</v>
      </c>
      <c r="D41" s="247">
        <f>INDEX([2]Kraje!B29:AK29,1,3*T!$A$4-2)</f>
        <v>8549</v>
      </c>
      <c r="E41" s="98">
        <f>INDEX([2]Kraje!C29:AL29,1,3*T!$A$4-2)</f>
        <v>8165.3</v>
      </c>
      <c r="F41" s="98">
        <f>INDEX([2]Kraje!D29:AM29,1,3*T!$A$4-2)</f>
        <v>86857.9</v>
      </c>
      <c r="G41" s="336">
        <f t="shared" ref="G41:G42" si="12">E41/$E$43</f>
        <v>0.18750373156606365</v>
      </c>
      <c r="H41" s="318">
        <f t="shared" si="10"/>
        <v>0.18282825356356477</v>
      </c>
      <c r="I41" s="285">
        <f>INDEX([4]Kraje!C29:AL29,1,3*T!$A$4-2)</f>
        <v>6903.2</v>
      </c>
      <c r="J41" s="98">
        <f>INDEX([4]Kraje!D29:AM29,1,3*T!$A$4-2)</f>
        <v>73440.100000000006</v>
      </c>
      <c r="K41" s="354">
        <f t="shared" si="11"/>
        <v>0.17451846383707026</v>
      </c>
    </row>
    <row r="42" spans="1:11" ht="14.1" customHeight="1" x14ac:dyDescent="0.2">
      <c r="A42" s="294"/>
      <c r="B42" s="270"/>
      <c r="C42" s="259" t="s">
        <v>9</v>
      </c>
      <c r="D42" s="247">
        <f>INDEX([2]Kraje!B30:AK30,1,3*T!$A$4-2)</f>
        <v>83835</v>
      </c>
      <c r="E42" s="98">
        <f>INDEX([2]Kraje!C30:AL30,1,3*T!$A$4-2)</f>
        <v>11972.2</v>
      </c>
      <c r="F42" s="98">
        <f>INDEX([2]Kraje!D30:AM30,1,3*T!$A$4-2)</f>
        <v>127352.8</v>
      </c>
      <c r="G42" s="336">
        <f t="shared" si="12"/>
        <v>0.27492341678263227</v>
      </c>
      <c r="H42" s="318">
        <f t="shared" si="10"/>
        <v>0.11675761391726139</v>
      </c>
      <c r="I42" s="285">
        <f>INDEX([4]Kraje!C30:AL30,1,3*T!$A$4-2)</f>
        <v>10720.5</v>
      </c>
      <c r="J42" s="98">
        <f>INDEX([4]Kraje!D30:AM30,1,3*T!$A$4-2)</f>
        <v>114050.8</v>
      </c>
      <c r="K42" s="354">
        <f>I42/$I$43</f>
        <v>0.27102288671417774</v>
      </c>
    </row>
    <row r="43" spans="1:11" ht="14.1" customHeight="1" x14ac:dyDescent="0.2">
      <c r="A43" s="294"/>
      <c r="B43" s="270"/>
      <c r="C43" s="261" t="s">
        <v>2</v>
      </c>
      <c r="D43" s="255">
        <f>SUM(D39:D42)</f>
        <v>92784</v>
      </c>
      <c r="E43" s="253">
        <f>SUM(E39:E42)</f>
        <v>43547.4</v>
      </c>
      <c r="F43" s="254">
        <f>SUM(F39:F42)</f>
        <v>463231.69228499994</v>
      </c>
      <c r="G43" s="338">
        <f>SUM(G39:G42)</f>
        <v>1</v>
      </c>
      <c r="H43" s="320">
        <f t="shared" si="10"/>
        <v>0.10091339554097145</v>
      </c>
      <c r="I43" s="288">
        <f>SUM(I39:I42)</f>
        <v>39555.699999999997</v>
      </c>
      <c r="J43" s="254">
        <f>SUM(J39:J42)</f>
        <v>420816.11527199991</v>
      </c>
      <c r="K43" s="356">
        <f>SUM(K39:K42)</f>
        <v>1</v>
      </c>
    </row>
    <row r="44" spans="1:11" ht="12.95" customHeight="1" x14ac:dyDescent="0.2">
      <c r="A44" s="294"/>
      <c r="B44" s="270"/>
      <c r="C44" s="295"/>
      <c r="D44" s="296"/>
      <c r="E44" s="295"/>
      <c r="F44" s="295"/>
      <c r="G44" s="339"/>
      <c r="H44" s="321"/>
      <c r="I44" s="297"/>
      <c r="J44" s="298"/>
      <c r="K44" s="357"/>
    </row>
    <row r="45" spans="1:11" ht="12.95" customHeight="1" x14ac:dyDescent="0.2">
      <c r="A45" s="986" t="s">
        <v>238</v>
      </c>
      <c r="B45" s="986"/>
      <c r="C45" s="257"/>
      <c r="D45" s="256"/>
      <c r="E45" s="257"/>
      <c r="F45" s="257"/>
      <c r="G45" s="335"/>
      <c r="H45" s="366"/>
      <c r="I45" s="284"/>
      <c r="J45" s="257"/>
      <c r="K45" s="353"/>
    </row>
    <row r="46" spans="1:11" ht="14.1" customHeight="1" x14ac:dyDescent="0.2">
      <c r="A46" s="97"/>
      <c r="B46" s="97"/>
      <c r="C46" s="259" t="s">
        <v>6</v>
      </c>
      <c r="D46" s="247">
        <f>INDEX([2]Kraje!B33:AK33,1,3*T!$A$4-2)</f>
        <v>131</v>
      </c>
      <c r="E46" s="98">
        <f>INDEX([2]Kraje!C33:AL33,1,3*T!$A$4-2)</f>
        <v>47049.3</v>
      </c>
      <c r="F46" s="98">
        <f>INDEX([2]Kraje!D33:AM33,1,3*T!$A$4-2)</f>
        <v>500330.07380999991</v>
      </c>
      <c r="G46" s="336">
        <f>E46/$E$50</f>
        <v>0.44941227891512192</v>
      </c>
      <c r="H46" s="318">
        <f>(E46-I46)/I46</f>
        <v>0.12461008554812721</v>
      </c>
      <c r="I46" s="285">
        <f>INDEX([4]Kraje!C33:AL33,1,3*T!$A$4-2)</f>
        <v>41836.1</v>
      </c>
      <c r="J46" s="98">
        <f>INDEX([4]Kraje!D33:AM33,1,3*T!$A$4-2)</f>
        <v>444929.56744800007</v>
      </c>
      <c r="K46" s="354">
        <f>I46/$I$50</f>
        <v>0.44272303008246899</v>
      </c>
    </row>
    <row r="47" spans="1:11" ht="14.1" customHeight="1" x14ac:dyDescent="0.2">
      <c r="A47" s="97"/>
      <c r="B47" s="97"/>
      <c r="C47" s="259" t="s">
        <v>7</v>
      </c>
      <c r="D47" s="247">
        <f>INDEX([2]Kraje!B34:AK34,1,3*T!$A$4-2)</f>
        <v>489</v>
      </c>
      <c r="E47" s="98">
        <f>INDEX([2]Kraje!C34:AL34,1,3*T!$A$4-2)</f>
        <v>7395.1</v>
      </c>
      <c r="F47" s="98">
        <f>INDEX([2]Kraje!D34:AM34,1,3*T!$A$4-2)</f>
        <v>78647.095310000048</v>
      </c>
      <c r="G47" s="336">
        <f t="shared" ref="G47:G49" si="13">E47/$E$50</f>
        <v>7.0637581086333237E-2</v>
      </c>
      <c r="H47" s="318">
        <f t="shared" ref="H47:H50" si="14">(E47-I47)/I47</f>
        <v>0.1742727388211382</v>
      </c>
      <c r="I47" s="285">
        <f>INDEX([4]Kraje!C34:AL34,1,3*T!$A$4-2)</f>
        <v>6297.6</v>
      </c>
      <c r="J47" s="98">
        <f>INDEX([4]Kraje!D34:AM34,1,3*T!$A$4-2)</f>
        <v>66981.078783999968</v>
      </c>
      <c r="K47" s="354">
        <f t="shared" ref="K47:K49" si="15">I47/$I$50</f>
        <v>6.6643223298714679E-2</v>
      </c>
    </row>
    <row r="48" spans="1:11" ht="14.1" customHeight="1" x14ac:dyDescent="0.2">
      <c r="A48" s="294"/>
      <c r="B48" s="270"/>
      <c r="C48" s="259" t="s">
        <v>8</v>
      </c>
      <c r="D48" s="247">
        <f>INDEX([2]Kraje!B35:AK35,1,3*T!$A$4-2)</f>
        <v>18034</v>
      </c>
      <c r="E48" s="98">
        <f>INDEX([2]Kraje!C35:AL35,1,3*T!$A$4-2)</f>
        <v>15145.031000000001</v>
      </c>
      <c r="F48" s="98">
        <f>INDEX([2]Kraje!D35:AM35,1,3*T!$A$4-2)</f>
        <v>161091.50700000001</v>
      </c>
      <c r="G48" s="336">
        <f t="shared" si="13"/>
        <v>0.14466448801470305</v>
      </c>
      <c r="H48" s="318">
        <f t="shared" si="14"/>
        <v>7.1977041547607493E-2</v>
      </c>
      <c r="I48" s="285">
        <f>INDEX([4]Kraje!C35:AL35,1,3*T!$A$4-2)</f>
        <v>14128.130000000001</v>
      </c>
      <c r="J48" s="98">
        <f>INDEX([4]Kraje!D35:AM35,1,3*T!$A$4-2)</f>
        <v>150294.76999999999</v>
      </c>
      <c r="K48" s="354">
        <f t="shared" si="15"/>
        <v>0.14950840357966047</v>
      </c>
    </row>
    <row r="49" spans="1:11" ht="14.1" customHeight="1" x14ac:dyDescent="0.2">
      <c r="A49" s="294"/>
      <c r="B49" s="270"/>
      <c r="C49" s="259" t="s">
        <v>9</v>
      </c>
      <c r="D49" s="247">
        <f>INDEX([2]Kraje!B36:AK36,1,3*T!$A$4-2)</f>
        <v>367430</v>
      </c>
      <c r="E49" s="98">
        <f>INDEX([2]Kraje!C36:AL36,1,3*T!$A$4-2)</f>
        <v>35101.300000000003</v>
      </c>
      <c r="F49" s="98">
        <f>INDEX([2]Kraje!D36:AM36,1,3*T!$A$4-2)</f>
        <v>373386.8</v>
      </c>
      <c r="G49" s="336">
        <f t="shared" si="13"/>
        <v>0.33528565198384186</v>
      </c>
      <c r="H49" s="318">
        <f t="shared" si="14"/>
        <v>8.8905364909385373E-2</v>
      </c>
      <c r="I49" s="285">
        <f>INDEX([4]Kraje!C36:AL36,1,3*T!$A$4-2)</f>
        <v>32235.4</v>
      </c>
      <c r="J49" s="98">
        <f>INDEX([4]Kraje!D36:AM36,1,3*T!$A$4-2)</f>
        <v>342939.5</v>
      </c>
      <c r="K49" s="354">
        <f t="shared" si="15"/>
        <v>0.3411253430391557</v>
      </c>
    </row>
    <row r="50" spans="1:11" ht="14.1" customHeight="1" x14ac:dyDescent="0.2">
      <c r="A50" s="294"/>
      <c r="B50" s="270"/>
      <c r="C50" s="261" t="s">
        <v>2</v>
      </c>
      <c r="D50" s="255">
        <f>SUM(D46:D49)</f>
        <v>386084</v>
      </c>
      <c r="E50" s="253">
        <f>SUM(E46:E49)</f>
        <v>104690.731</v>
      </c>
      <c r="F50" s="254">
        <f>SUM(F46:F49)</f>
        <v>1113455.47612</v>
      </c>
      <c r="G50" s="338">
        <f>SUM(G46:G49)</f>
        <v>1</v>
      </c>
      <c r="H50" s="320">
        <f t="shared" si="14"/>
        <v>0.10787089737974317</v>
      </c>
      <c r="I50" s="288">
        <f>SUM(I46:I49)</f>
        <v>94497.23000000001</v>
      </c>
      <c r="J50" s="254">
        <f>SUM(J46:J49)</f>
        <v>1005144.916232</v>
      </c>
      <c r="K50" s="356">
        <f>SUM(K46:K49)</f>
        <v>0.99999999999999978</v>
      </c>
    </row>
    <row r="51" spans="1:11" ht="12.95" customHeight="1" x14ac:dyDescent="0.2">
      <c r="A51" s="294"/>
      <c r="B51" s="270"/>
      <c r="C51" s="295"/>
      <c r="D51" s="296"/>
      <c r="E51" s="295"/>
      <c r="F51" s="295"/>
      <c r="G51" s="339"/>
      <c r="H51" s="321"/>
      <c r="I51" s="297"/>
      <c r="J51" s="298"/>
      <c r="K51" s="357"/>
    </row>
    <row r="52" spans="1:11" ht="12.95" customHeight="1" x14ac:dyDescent="0.2">
      <c r="A52" s="986" t="s">
        <v>239</v>
      </c>
      <c r="B52" s="986"/>
      <c r="C52" s="257"/>
      <c r="D52" s="256"/>
      <c r="E52" s="257"/>
      <c r="F52" s="257"/>
      <c r="G52" s="335"/>
      <c r="H52" s="366"/>
      <c r="I52" s="284"/>
      <c r="J52" s="257"/>
      <c r="K52" s="353"/>
    </row>
    <row r="53" spans="1:11" ht="14.1" customHeight="1" x14ac:dyDescent="0.2">
      <c r="A53" s="97"/>
      <c r="B53" s="97"/>
      <c r="C53" s="259" t="s">
        <v>6</v>
      </c>
      <c r="D53" s="247">
        <f>INDEX([2]Kraje!B39:AK39,1,3*T!$A$4-2)</f>
        <v>109</v>
      </c>
      <c r="E53" s="98">
        <f>INDEX([2]Kraje!C39:AL39,1,3*T!$A$4-2)</f>
        <v>16032.8</v>
      </c>
      <c r="F53" s="98">
        <f>INDEX([2]Kraje!D39:AM39,1,3*T!$A$4-2)</f>
        <v>170546.99534899998</v>
      </c>
      <c r="G53" s="336">
        <f>E53/$E$57</f>
        <v>0.28932604039029636</v>
      </c>
      <c r="H53" s="318">
        <f>(E53-I53)/I53</f>
        <v>5.355570450393618E-2</v>
      </c>
      <c r="I53" s="285">
        <f>INDEX([4]Kraje!C39:AL39,1,3*T!$A$4-2)</f>
        <v>15217.8</v>
      </c>
      <c r="J53" s="98">
        <f>INDEX([4]Kraje!D39:AM39,1,3*T!$A$4-2)</f>
        <v>161895.47002400007</v>
      </c>
      <c r="K53" s="354">
        <f>I53/$I$57</f>
        <v>0.29713154364774863</v>
      </c>
    </row>
    <row r="54" spans="1:11" ht="14.1" customHeight="1" x14ac:dyDescent="0.2">
      <c r="A54" s="97"/>
      <c r="B54" s="97"/>
      <c r="C54" s="259" t="s">
        <v>7</v>
      </c>
      <c r="D54" s="247">
        <f>INDEX([2]Kraje!B40:AK40,1,3*T!$A$4-2)</f>
        <v>389</v>
      </c>
      <c r="E54" s="98">
        <f>INDEX([2]Kraje!C40:AL40,1,3*T!$A$4-2)</f>
        <v>5968.3</v>
      </c>
      <c r="F54" s="98">
        <f>INDEX([2]Kraje!D40:AM40,1,3*T!$A$4-2)</f>
        <v>63487.570394999959</v>
      </c>
      <c r="G54" s="336">
        <f>E54/$E$57</f>
        <v>0.10770324627397621</v>
      </c>
      <c r="H54" s="318">
        <f t="shared" ref="H54:H57" si="16">(E54-I54)/I54</f>
        <v>0.12905544730519661</v>
      </c>
      <c r="I54" s="285">
        <f>INDEX([4]Kraje!C40:AL40,1,3*T!$A$4-2)</f>
        <v>5286.1</v>
      </c>
      <c r="J54" s="98">
        <f>INDEX([4]Kraje!D40:AM40,1,3*T!$A$4-2)</f>
        <v>56236.812752000034</v>
      </c>
      <c r="K54" s="354">
        <f t="shared" ref="K54:K55" si="17">I54/$I$57</f>
        <v>0.10321249148210414</v>
      </c>
    </row>
    <row r="55" spans="1:11" ht="14.1" customHeight="1" x14ac:dyDescent="0.2">
      <c r="A55" s="294"/>
      <c r="B55" s="270"/>
      <c r="C55" s="259" t="s">
        <v>8</v>
      </c>
      <c r="D55" s="247">
        <f>INDEX([2]Kraje!B41:AK41,1,3*T!$A$4-2)</f>
        <v>12794</v>
      </c>
      <c r="E55" s="98">
        <f>INDEX([2]Kraje!C41:AL41,1,3*T!$A$4-2)</f>
        <v>10727.8</v>
      </c>
      <c r="F55" s="98">
        <f>INDEX([2]Kraje!D41:AM41,1,3*T!$A$4-2)</f>
        <v>114115.8</v>
      </c>
      <c r="G55" s="336">
        <f>E55/$E$57</f>
        <v>0.19359262861752288</v>
      </c>
      <c r="H55" s="318">
        <f t="shared" si="16"/>
        <v>5.905465171378918E-2</v>
      </c>
      <c r="I55" s="285">
        <f>INDEX([4]Kraje!C41:AL41,1,3*T!$A$4-2)</f>
        <v>10129.6</v>
      </c>
      <c r="J55" s="98">
        <f>INDEX([4]Kraje!D41:AM41,1,3*T!$A$4-2)</f>
        <v>107764.4</v>
      </c>
      <c r="K55" s="354">
        <f t="shared" si="17"/>
        <v>0.1977831016660907</v>
      </c>
    </row>
    <row r="56" spans="1:11" ht="14.1" customHeight="1" x14ac:dyDescent="0.2">
      <c r="A56" s="294"/>
      <c r="B56" s="270"/>
      <c r="C56" s="259" t="s">
        <v>9</v>
      </c>
      <c r="D56" s="247">
        <f>INDEX([2]Kraje!B42:AK42,1,3*T!$A$4-2)</f>
        <v>174713</v>
      </c>
      <c r="E56" s="98">
        <f>INDEX([2]Kraje!C42:AL42,1,3*T!$A$4-2)</f>
        <v>22685.4</v>
      </c>
      <c r="F56" s="98">
        <f>INDEX([2]Kraje!D42:AM42,1,3*T!$A$4-2)</f>
        <v>241313.3</v>
      </c>
      <c r="G56" s="336">
        <f t="shared" ref="G56" si="18">E56/$E$57</f>
        <v>0.40937808471820453</v>
      </c>
      <c r="H56" s="318">
        <f t="shared" si="16"/>
        <v>0.10218538348670213</v>
      </c>
      <c r="I56" s="285">
        <f>INDEX([4]Kraje!C42:AL42,1,3*T!$A$4-2)</f>
        <v>20582.2</v>
      </c>
      <c r="J56" s="98">
        <f>INDEX([4]Kraje!D42:AM42,1,3*T!$A$4-2)</f>
        <v>218965.3</v>
      </c>
      <c r="K56" s="354">
        <f>I56/$I$57</f>
        <v>0.40187286320405663</v>
      </c>
    </row>
    <row r="57" spans="1:11" ht="14.1" customHeight="1" x14ac:dyDescent="0.2">
      <c r="A57" s="294"/>
      <c r="B57" s="270"/>
      <c r="C57" s="261" t="s">
        <v>2</v>
      </c>
      <c r="D57" s="255">
        <f>SUM(D53:D56)</f>
        <v>188005</v>
      </c>
      <c r="E57" s="253">
        <f>SUM(E53:E56)</f>
        <v>55414.3</v>
      </c>
      <c r="F57" s="254">
        <f>SUM(F53:F56)</f>
        <v>589463.66574399988</v>
      </c>
      <c r="G57" s="338">
        <f>SUM(G53:G56)</f>
        <v>1</v>
      </c>
      <c r="H57" s="320">
        <f t="shared" si="16"/>
        <v>8.1978768229273566E-2</v>
      </c>
      <c r="I57" s="288">
        <f>SUM(I53:I56)</f>
        <v>51215.7</v>
      </c>
      <c r="J57" s="254">
        <f>SUM(J53:J56)</f>
        <v>544861.98277600016</v>
      </c>
      <c r="K57" s="356">
        <f>SUM(K53:K56)</f>
        <v>1.0000000000000002</v>
      </c>
    </row>
    <row r="58" spans="1:11" ht="12.95" customHeight="1" x14ac:dyDescent="0.2">
      <c r="A58" s="294"/>
      <c r="B58" s="270"/>
      <c r="C58" s="176"/>
      <c r="D58" s="299"/>
      <c r="E58" s="176"/>
      <c r="F58" s="176"/>
      <c r="G58" s="340"/>
      <c r="H58" s="322"/>
      <c r="I58" s="300"/>
      <c r="J58" s="301"/>
      <c r="K58" s="358"/>
    </row>
    <row r="59" spans="1:11" ht="1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7:B17"/>
    <mergeCell ref="A24:B24"/>
    <mergeCell ref="A31:B31"/>
    <mergeCell ref="A38:B38"/>
    <mergeCell ref="A52:B52"/>
    <mergeCell ref="A45:B45"/>
    <mergeCell ref="A10:B10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zoomScaleNormal="100" zoomScaleSheetLayoutView="100" workbookViewId="0">
      <selection activeCell="L17" sqref="L17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973"/>
      <c r="K1" s="973"/>
    </row>
    <row r="2" spans="1:17" ht="6.75" customHeight="1" x14ac:dyDescent="0.2"/>
    <row r="3" spans="1:17" ht="30" customHeight="1" x14ac:dyDescent="0.2">
      <c r="A3" s="981"/>
      <c r="B3" s="981"/>
      <c r="C3" s="981"/>
      <c r="D3" s="981"/>
      <c r="E3" s="981"/>
      <c r="F3" s="981"/>
      <c r="G3" s="981"/>
      <c r="H3" s="981"/>
      <c r="I3" s="981"/>
      <c r="J3" s="981"/>
      <c r="K3" s="981"/>
    </row>
    <row r="4" spans="1:17" ht="16.5" customHeight="1" x14ac:dyDescent="0.2">
      <c r="B4" s="244"/>
      <c r="C4" s="244"/>
      <c r="D4" s="980"/>
      <c r="E4" s="980"/>
      <c r="F4" s="225"/>
      <c r="G4" s="244"/>
      <c r="H4" s="244"/>
      <c r="I4" s="244"/>
    </row>
    <row r="5" spans="1:17" ht="11.25" customHeight="1" x14ac:dyDescent="0.2">
      <c r="A5" s="273"/>
      <c r="B5" s="274"/>
      <c r="C5" s="274"/>
      <c r="D5" s="274"/>
      <c r="E5" s="272"/>
      <c r="F5" s="244"/>
      <c r="G5" s="244"/>
      <c r="H5" s="244"/>
      <c r="I5" s="275"/>
      <c r="J5" s="92"/>
    </row>
    <row r="6" spans="1:17" ht="14.1" customHeight="1" x14ac:dyDescent="0.25">
      <c r="A6" s="273"/>
      <c r="B6" s="128"/>
      <c r="C6" s="276"/>
      <c r="D6" s="276"/>
      <c r="E6" s="277"/>
      <c r="F6" s="276"/>
      <c r="G6" s="278"/>
      <c r="H6" s="983" t="s">
        <v>228</v>
      </c>
      <c r="I6" s="279"/>
      <c r="J6" s="278"/>
      <c r="K6" s="276"/>
    </row>
    <row r="7" spans="1:17" ht="14.1" customHeight="1" x14ac:dyDescent="0.25">
      <c r="A7" s="280"/>
      <c r="B7" s="281"/>
      <c r="C7" s="265"/>
      <c r="D7" s="265"/>
      <c r="E7" s="266" t="str">
        <f>'7'!E7</f>
        <v>Únor</v>
      </c>
      <c r="F7" s="267">
        <f>'7'!F7</f>
        <v>2015</v>
      </c>
      <c r="G7" s="267"/>
      <c r="H7" s="984"/>
      <c r="I7" s="282" t="str">
        <f>E7</f>
        <v>Únor</v>
      </c>
      <c r="J7" s="262">
        <f>F7-1</f>
        <v>2014</v>
      </c>
      <c r="K7" s="276"/>
    </row>
    <row r="8" spans="1:17" ht="14.1" customHeight="1" x14ac:dyDescent="0.2">
      <c r="A8" s="280"/>
      <c r="B8" s="978" t="s">
        <v>93</v>
      </c>
      <c r="C8" s="978"/>
      <c r="D8" s="969" t="s">
        <v>0</v>
      </c>
      <c r="E8" s="971" t="s">
        <v>71</v>
      </c>
      <c r="F8" s="939"/>
      <c r="G8" s="333" t="s">
        <v>226</v>
      </c>
      <c r="H8" s="984"/>
      <c r="I8" s="972" t="s">
        <v>71</v>
      </c>
      <c r="J8" s="939"/>
      <c r="K8" s="351" t="s">
        <v>226</v>
      </c>
    </row>
    <row r="9" spans="1:17" ht="14.1" customHeight="1" x14ac:dyDescent="0.2">
      <c r="A9" s="252"/>
      <c r="B9" s="979"/>
      <c r="C9" s="979"/>
      <c r="D9" s="970"/>
      <c r="E9" s="268" t="s">
        <v>15</v>
      </c>
      <c r="F9" s="268" t="s">
        <v>1</v>
      </c>
      <c r="G9" s="334" t="s">
        <v>128</v>
      </c>
      <c r="H9" s="985"/>
      <c r="I9" s="283" t="s">
        <v>15</v>
      </c>
      <c r="J9" s="268" t="s">
        <v>1</v>
      </c>
      <c r="K9" s="352" t="s">
        <v>128</v>
      </c>
    </row>
    <row r="10" spans="1:17" ht="12.95" customHeight="1" x14ac:dyDescent="0.2">
      <c r="A10" s="986" t="s">
        <v>240</v>
      </c>
      <c r="B10" s="986"/>
      <c r="C10" s="257"/>
      <c r="D10" s="256"/>
      <c r="E10" s="257"/>
      <c r="F10" s="257"/>
      <c r="G10" s="335"/>
      <c r="H10" s="317"/>
      <c r="I10" s="284"/>
      <c r="J10" s="257"/>
      <c r="K10" s="353"/>
    </row>
    <row r="11" spans="1:17" ht="14.1" customHeight="1" x14ac:dyDescent="0.2">
      <c r="A11" s="97"/>
      <c r="B11" s="97"/>
      <c r="C11" s="259" t="s">
        <v>6</v>
      </c>
      <c r="D11" s="247">
        <f>INDEX([2]Kraje!B45:AK45,1,3*T!$A$4-2)</f>
        <v>75</v>
      </c>
      <c r="E11" s="98">
        <f>INDEX([2]Kraje!C45:AL45,1,3*T!$A$4-2)</f>
        <v>12723.1</v>
      </c>
      <c r="F11" s="98">
        <f>INDEX([2]Kraje!D45:AM45,1,3*T!$A$4-2)</f>
        <v>135340.74415800002</v>
      </c>
      <c r="G11" s="336">
        <f>E11/$E$15</f>
        <v>0.28693565592348441</v>
      </c>
      <c r="H11" s="318">
        <f>(E11-I11)/I11</f>
        <v>0.10535689463441764</v>
      </c>
      <c r="I11" s="285">
        <f>INDEX([4]Kraje!C45:AL45,1,3*T!$A$4-2)</f>
        <v>11510.4</v>
      </c>
      <c r="J11" s="98">
        <f>INDEX([4]Kraje!D45:AM45,1,3*T!$A$4-2)</f>
        <v>122454.27260900001</v>
      </c>
      <c r="K11" s="354">
        <f>I11/$I$15</f>
        <v>0.28769886399140182</v>
      </c>
    </row>
    <row r="12" spans="1:17" ht="14.1" customHeight="1" x14ac:dyDescent="0.2">
      <c r="A12" s="97"/>
      <c r="B12" s="97"/>
      <c r="C12" s="259" t="s">
        <v>7</v>
      </c>
      <c r="D12" s="247">
        <f>INDEX([2]Kraje!B46:AK46,1,3*T!$A$4-2)</f>
        <v>291</v>
      </c>
      <c r="E12" s="98">
        <f>INDEX([2]Kraje!C46:AL46,1,3*T!$A$4-2)</f>
        <v>4505.1000000000004</v>
      </c>
      <c r="F12" s="98">
        <f>INDEX([2]Kraje!D46:AM46,1,3*T!$A$4-2)</f>
        <v>47922.386803999951</v>
      </c>
      <c r="G12" s="336">
        <f>E12/$E$15</f>
        <v>0.10160053945193308</v>
      </c>
      <c r="H12" s="318">
        <f>(E12-I12)/I12</f>
        <v>8.1059678928802864E-2</v>
      </c>
      <c r="I12" s="285">
        <f>INDEX([4]Kraje!C46:AL46,1,3*T!$A$4-2)</f>
        <v>4167.3</v>
      </c>
      <c r="J12" s="98">
        <f>INDEX([4]Kraje!D46:AM46,1,3*T!$A$4-2)</f>
        <v>44334.092981000002</v>
      </c>
      <c r="K12" s="354">
        <f>I12/$I$15</f>
        <v>0.10416036592224152</v>
      </c>
      <c r="L12" s="286"/>
      <c r="M12" s="286"/>
      <c r="O12" s="286"/>
      <c r="P12" s="286"/>
      <c r="Q12" s="286"/>
    </row>
    <row r="13" spans="1:17" ht="14.1" customHeight="1" x14ac:dyDescent="0.2">
      <c r="A13" s="294"/>
      <c r="B13" s="270"/>
      <c r="C13" s="259" t="s">
        <v>8</v>
      </c>
      <c r="D13" s="247">
        <f>INDEX([2]Kraje!B47:AK47,1,3*T!$A$4-2)</f>
        <v>10836</v>
      </c>
      <c r="E13" s="98">
        <f>INDEX([2]Kraje!C47:AL47,1,3*T!$A$4-2)</f>
        <v>8962.2000000000007</v>
      </c>
      <c r="F13" s="98">
        <f>INDEX([2]Kraje!D47:AM47,1,3*T!$A$4-2)</f>
        <v>95334.5</v>
      </c>
      <c r="G13" s="336">
        <f>E13/$E$15</f>
        <v>0.20211856666358452</v>
      </c>
      <c r="H13" s="318">
        <f t="shared" ref="H13:H15" si="0">(E13-I13)/I13</f>
        <v>9.6481354605070027E-2</v>
      </c>
      <c r="I13" s="285">
        <f>INDEX([4]Kraje!C47:AL47,1,3*T!$A$4-2)</f>
        <v>8173.6</v>
      </c>
      <c r="J13" s="98">
        <f>INDEX([4]Kraje!D47:AM47,1,3*T!$A$4-2)</f>
        <v>86955.9</v>
      </c>
      <c r="K13" s="354">
        <f>I13/$I$15</f>
        <v>0.20429658697526776</v>
      </c>
      <c r="L13" s="286"/>
      <c r="M13" s="286"/>
      <c r="O13" s="286"/>
      <c r="P13" s="286"/>
      <c r="Q13" s="286"/>
    </row>
    <row r="14" spans="1:17" ht="14.1" customHeight="1" x14ac:dyDescent="0.2">
      <c r="A14" s="294"/>
      <c r="B14" s="270"/>
      <c r="C14" s="259" t="s">
        <v>9</v>
      </c>
      <c r="D14" s="247">
        <f>INDEX([2]Kraje!B48:AK48,1,3*T!$A$4-2)</f>
        <v>125366</v>
      </c>
      <c r="E14" s="98">
        <f>INDEX([2]Kraje!C48:AL48,1,3*T!$A$4-2)</f>
        <v>18150.900000000001</v>
      </c>
      <c r="F14" s="98">
        <f>INDEX([2]Kraje!D48:AM48,1,3*T!$A$4-2)</f>
        <v>193078</v>
      </c>
      <c r="G14" s="336">
        <f>E14/$E$15</f>
        <v>0.40934523796099798</v>
      </c>
      <c r="H14" s="318">
        <f t="shared" si="0"/>
        <v>0.12339390488450973</v>
      </c>
      <c r="I14" s="285">
        <f>INDEX([4]Kraje!C48:AL48,1,3*T!$A$4-2)</f>
        <v>16157.2</v>
      </c>
      <c r="J14" s="98">
        <f>INDEX([4]Kraje!D48:AM48,1,3*T!$A$4-2)</f>
        <v>171890</v>
      </c>
      <c r="K14" s="354">
        <f>I14/$I$15</f>
        <v>0.40384418311108894</v>
      </c>
      <c r="L14" s="286"/>
      <c r="M14" s="286"/>
      <c r="O14" s="286"/>
      <c r="P14" s="286"/>
      <c r="Q14" s="286"/>
    </row>
    <row r="15" spans="1:17" ht="14.1" customHeight="1" x14ac:dyDescent="0.2">
      <c r="A15" s="294"/>
      <c r="B15" s="270"/>
      <c r="C15" s="261" t="s">
        <v>2</v>
      </c>
      <c r="D15" s="255">
        <f>SUM(D11:D14)</f>
        <v>136568</v>
      </c>
      <c r="E15" s="253">
        <f>SUM(E11:E14)</f>
        <v>44341.3</v>
      </c>
      <c r="F15" s="254">
        <f>SUM(F11:F14)</f>
        <v>471675.630962</v>
      </c>
      <c r="G15" s="338">
        <f>SUM(G11:G14)</f>
        <v>1</v>
      </c>
      <c r="H15" s="320">
        <f t="shared" si="0"/>
        <v>0.10829698689028588</v>
      </c>
      <c r="I15" s="288">
        <f>SUM(I11:I14)</f>
        <v>40008.5</v>
      </c>
      <c r="J15" s="254">
        <f>SUM(J11:J14)</f>
        <v>425634.26558999997</v>
      </c>
      <c r="K15" s="356">
        <f>SUM(K11:K14)</f>
        <v>1</v>
      </c>
      <c r="L15" s="286"/>
      <c r="M15" s="286"/>
    </row>
    <row r="16" spans="1:17" ht="12.95" customHeight="1" x14ac:dyDescent="0.2">
      <c r="A16" s="294"/>
      <c r="B16" s="270"/>
      <c r="C16" s="295"/>
      <c r="D16" s="296"/>
      <c r="E16" s="295"/>
      <c r="F16" s="295"/>
      <c r="G16" s="339"/>
      <c r="H16" s="321"/>
      <c r="I16" s="297"/>
      <c r="J16" s="298"/>
      <c r="K16" s="357"/>
      <c r="L16" s="286"/>
      <c r="M16" s="286"/>
    </row>
    <row r="17" spans="1:16" ht="12.95" customHeight="1" x14ac:dyDescent="0.2">
      <c r="A17" s="986" t="s">
        <v>241</v>
      </c>
      <c r="B17" s="986"/>
      <c r="C17" s="257"/>
      <c r="D17" s="256"/>
      <c r="E17" s="257"/>
      <c r="F17" s="257"/>
      <c r="G17" s="335"/>
      <c r="H17" s="366"/>
      <c r="I17" s="284"/>
      <c r="J17" s="257"/>
      <c r="K17" s="353"/>
      <c r="L17" s="286"/>
      <c r="M17" s="286"/>
    </row>
    <row r="18" spans="1:16" ht="14.1" customHeight="1" x14ac:dyDescent="0.2">
      <c r="A18" s="97"/>
      <c r="B18" s="97"/>
      <c r="C18" s="259" t="s">
        <v>6</v>
      </c>
      <c r="D18" s="247">
        <f>INDEX([2]Kraje!B51:AK51,1,3*T!$A$4-2)</f>
        <v>82</v>
      </c>
      <c r="E18" s="98">
        <f>INDEX([2]Kraje!C51:AL51,1,3*T!$A$4-2)</f>
        <v>14328.6</v>
      </c>
      <c r="F18" s="98">
        <f>INDEX([2]Kraje!D51:AM51,1,3*T!$A$4-2)</f>
        <v>152419.40995</v>
      </c>
      <c r="G18" s="336">
        <f>E18/$E$22</f>
        <v>0.30511831144273521</v>
      </c>
      <c r="H18" s="318">
        <f>(E18-I18)/I18</f>
        <v>-3.5254036439046087E-2</v>
      </c>
      <c r="I18" s="285">
        <f>INDEX([4]Kraje!C51:AL51,1,3*T!$A$4-2)</f>
        <v>14852.2</v>
      </c>
      <c r="J18" s="98">
        <f>INDEX([4]Kraje!D51:AM51,1,3*T!$A$4-2)</f>
        <v>158006.03251399999</v>
      </c>
      <c r="K18" s="354">
        <f>I18/$I$22</f>
        <v>0.34449709714306925</v>
      </c>
      <c r="L18" s="286"/>
      <c r="M18" s="286"/>
      <c r="N18" s="286"/>
    </row>
    <row r="19" spans="1:16" ht="14.1" customHeight="1" x14ac:dyDescent="0.2">
      <c r="A19" s="97"/>
      <c r="B19" s="97"/>
      <c r="C19" s="259" t="s">
        <v>7</v>
      </c>
      <c r="D19" s="247">
        <f>INDEX([2]Kraje!B52:AK52,1,3*T!$A$4-2)</f>
        <v>344</v>
      </c>
      <c r="E19" s="98">
        <f>INDEX([2]Kraje!C52:AL52,1,3*T!$A$4-2)</f>
        <v>5826.2</v>
      </c>
      <c r="F19" s="98">
        <f>INDEX([2]Kraje!D52:AM52,1,3*T!$A$4-2)</f>
        <v>61976.036105000036</v>
      </c>
      <c r="G19" s="336">
        <f t="shared" ref="G19:G20" si="1">E19/$E$22</f>
        <v>0.12406517776528508</v>
      </c>
      <c r="H19" s="318">
        <f>(E19-I19)/I19</f>
        <v>0.16258929640419847</v>
      </c>
      <c r="I19" s="285">
        <f>INDEX([4]Kraje!C52:AL52,1,3*T!$A$4-2)</f>
        <v>5011.3999999999996</v>
      </c>
      <c r="J19" s="98">
        <f>INDEX([4]Kraje!D52:AM52,1,3*T!$A$4-2)</f>
        <v>53314.144358999984</v>
      </c>
      <c r="K19" s="354">
        <f t="shared" ref="K19:K21" si="2">I19/$I$22</f>
        <v>0.11623953034720627</v>
      </c>
      <c r="L19" s="289"/>
      <c r="M19" s="289"/>
      <c r="N19" s="286"/>
    </row>
    <row r="20" spans="1:16" ht="14.1" customHeight="1" x14ac:dyDescent="0.2">
      <c r="A20" s="294"/>
      <c r="B20" s="270"/>
      <c r="C20" s="259" t="s">
        <v>8</v>
      </c>
      <c r="D20" s="247">
        <f>INDEX([2]Kraje!B53:AK53,1,3*T!$A$4-2)</f>
        <v>11387</v>
      </c>
      <c r="E20" s="98">
        <f>INDEX([2]Kraje!C53:AL53,1,3*T!$A$4-2)</f>
        <v>9894</v>
      </c>
      <c r="F20" s="98">
        <f>INDEX([2]Kraje!D53:AM53,1,3*T!$A$4-2)</f>
        <v>105246.5</v>
      </c>
      <c r="G20" s="336">
        <f t="shared" si="1"/>
        <v>0.21068635968722849</v>
      </c>
      <c r="H20" s="318">
        <f t="shared" ref="H20:H22" si="3">(E20-I20)/I20</f>
        <v>0.13452894229887175</v>
      </c>
      <c r="I20" s="285">
        <f>INDEX([4]Kraje!C53:AL53,1,3*T!$A$4-2)</f>
        <v>8720.7999999999993</v>
      </c>
      <c r="J20" s="98">
        <f>INDEX([4]Kraje!D53:AM53,1,3*T!$A$4-2)</f>
        <v>92776.8</v>
      </c>
      <c r="K20" s="354">
        <f t="shared" si="2"/>
        <v>0.20227914280478837</v>
      </c>
      <c r="L20" s="286"/>
      <c r="M20" s="286"/>
      <c r="N20" s="286"/>
      <c r="O20" s="286"/>
      <c r="P20" s="286"/>
    </row>
    <row r="21" spans="1:16" ht="14.1" customHeight="1" x14ac:dyDescent="0.2">
      <c r="A21" s="294"/>
      <c r="B21" s="270"/>
      <c r="C21" s="259" t="s">
        <v>9</v>
      </c>
      <c r="D21" s="247">
        <f>INDEX([2]Kraje!B54:AK54,1,3*T!$A$4-2)</f>
        <v>147673</v>
      </c>
      <c r="E21" s="98">
        <f>INDEX([2]Kraje!C54:AL54,1,3*T!$A$4-2)</f>
        <v>16912</v>
      </c>
      <c r="F21" s="98">
        <f>INDEX([2]Kraje!D54:AM54,1,3*T!$A$4-2)</f>
        <v>179900.1</v>
      </c>
      <c r="G21" s="336">
        <f>E21/$E$22</f>
        <v>0.36013015110475116</v>
      </c>
      <c r="H21" s="318">
        <f t="shared" si="3"/>
        <v>0.16407287845102322</v>
      </c>
      <c r="I21" s="285">
        <f>INDEX([4]Kraje!C54:AL54,1,3*T!$A$4-2)</f>
        <v>14528.3</v>
      </c>
      <c r="J21" s="98">
        <f>INDEX([4]Kraje!D54:AM54,1,3*T!$A$4-2)</f>
        <v>154561</v>
      </c>
      <c r="K21" s="354">
        <f t="shared" si="2"/>
        <v>0.33698422970493613</v>
      </c>
      <c r="L21" s="286"/>
      <c r="M21" s="286"/>
      <c r="N21" s="286"/>
      <c r="O21" s="286"/>
      <c r="P21" s="286"/>
    </row>
    <row r="22" spans="1:16" ht="14.1" customHeight="1" x14ac:dyDescent="0.2">
      <c r="A22" s="294"/>
      <c r="B22" s="270"/>
      <c r="C22" s="261" t="s">
        <v>2</v>
      </c>
      <c r="D22" s="255">
        <f>SUM(D18:D21)</f>
        <v>159486</v>
      </c>
      <c r="E22" s="253">
        <f>SUM(E18:E21)</f>
        <v>46960.800000000003</v>
      </c>
      <c r="F22" s="254">
        <f>SUM(F18:F21)</f>
        <v>499542.04605500004</v>
      </c>
      <c r="G22" s="338">
        <f>SUM(G18:G21)</f>
        <v>1</v>
      </c>
      <c r="H22" s="320">
        <f t="shared" si="3"/>
        <v>8.9256761928619782E-2</v>
      </c>
      <c r="I22" s="288">
        <f>SUM(I18:I21)</f>
        <v>43112.7</v>
      </c>
      <c r="J22" s="254">
        <f>SUM(J18:J21)</f>
        <v>458657.97687299998</v>
      </c>
      <c r="K22" s="356">
        <f>SUM(K18:K21)</f>
        <v>1</v>
      </c>
      <c r="L22" s="286"/>
      <c r="M22" s="286"/>
      <c r="N22" s="286"/>
      <c r="O22" s="286"/>
      <c r="P22" s="286"/>
    </row>
    <row r="23" spans="1:16" ht="12.95" customHeight="1" x14ac:dyDescent="0.2">
      <c r="A23" s="294"/>
      <c r="B23" s="270"/>
      <c r="C23" s="295"/>
      <c r="D23" s="296"/>
      <c r="E23" s="295"/>
      <c r="F23" s="295"/>
      <c r="G23" s="339"/>
      <c r="H23" s="321"/>
      <c r="I23" s="297"/>
      <c r="J23" s="298"/>
      <c r="K23" s="357"/>
      <c r="L23" s="286"/>
      <c r="M23" s="286"/>
      <c r="N23" s="286"/>
      <c r="O23" s="286"/>
      <c r="P23" s="286"/>
    </row>
    <row r="24" spans="1:16" ht="12.95" customHeight="1" x14ac:dyDescent="0.2">
      <c r="A24" s="986" t="s">
        <v>3</v>
      </c>
      <c r="B24" s="986"/>
      <c r="C24" s="257"/>
      <c r="D24" s="256"/>
      <c r="E24" s="257"/>
      <c r="F24" s="257"/>
      <c r="G24" s="335"/>
      <c r="H24" s="366"/>
      <c r="I24" s="284"/>
      <c r="J24" s="257"/>
      <c r="K24" s="353"/>
      <c r="L24" s="286"/>
      <c r="M24" s="286"/>
      <c r="N24" s="286"/>
      <c r="O24" s="286"/>
      <c r="P24" s="286"/>
    </row>
    <row r="25" spans="1:16" ht="14.1" customHeight="1" x14ac:dyDescent="0.2">
      <c r="A25" s="97"/>
      <c r="B25" s="97"/>
      <c r="C25" s="259" t="s">
        <v>6</v>
      </c>
      <c r="D25" s="247">
        <f>INDEX([2]Kraje!B57:AK57,1,3*T!$A$4-2)</f>
        <v>183</v>
      </c>
      <c r="E25" s="98">
        <f>INDEX([2]Kraje!C57:AL57,1,3*T!$A$4-2)</f>
        <v>28997.952322102396</v>
      </c>
      <c r="F25" s="98">
        <f>INDEX([2]Kraje!D57:AM57,1,3*T!$A$4-2)</f>
        <v>307775.07500000001</v>
      </c>
      <c r="G25" s="336">
        <f>E25/$E$29</f>
        <v>0.23338262392519341</v>
      </c>
      <c r="H25" s="318">
        <f>(E25-I25)/I25</f>
        <v>8.0450482173847288E-2</v>
      </c>
      <c r="I25" s="285">
        <f>INDEX([4]Kraje!C57:AL57,1,3*T!$A$4-2)</f>
        <v>26838.761054332659</v>
      </c>
      <c r="J25" s="98">
        <f>INDEX([4]Kraje!D57:AM57,1,3*T!$A$4-2)</f>
        <v>284039.321</v>
      </c>
      <c r="K25" s="354">
        <f>I25/$I$29</f>
        <v>0.24330405179851641</v>
      </c>
      <c r="L25" s="289"/>
      <c r="N25" s="286"/>
      <c r="O25" s="286"/>
      <c r="P25" s="286"/>
    </row>
    <row r="26" spans="1:16" ht="14.1" customHeight="1" x14ac:dyDescent="0.2">
      <c r="A26" s="97"/>
      <c r="B26" s="97"/>
      <c r="C26" s="259" t="s">
        <v>7</v>
      </c>
      <c r="D26" s="247">
        <f>INDEX([2]Kraje!B58:AK58,1,3*T!$A$4-2)</f>
        <v>1617</v>
      </c>
      <c r="E26" s="98">
        <f>INDEX([2]Kraje!C58:AL58,1,3*T!$A$4-2)</f>
        <v>23382.232094319937</v>
      </c>
      <c r="F26" s="98">
        <f>INDEX([2]Kraje!D58:AM58,1,3*T!$A$4-2)</f>
        <v>248156.929</v>
      </c>
      <c r="G26" s="336">
        <f t="shared" ref="G26:G28" si="4">E26/$E$29</f>
        <v>0.18818593184736349</v>
      </c>
      <c r="H26" s="318">
        <f t="shared" ref="H26:H29" si="5">(E26-I26)/I26</f>
        <v>0.13602282233976129</v>
      </c>
      <c r="I26" s="285">
        <f>INDEX([4]Kraje!C58:AL58,1,3*T!$A$4-2)</f>
        <v>20582.537282271947</v>
      </c>
      <c r="J26" s="98">
        <f>INDEX([4]Kraje!D58:AM58,1,3*T!$A$4-2)</f>
        <v>217828.606</v>
      </c>
      <c r="K26" s="354">
        <f t="shared" ref="K26:K28" si="6">I26/$I$29</f>
        <v>0.186588893091336</v>
      </c>
      <c r="L26" s="289"/>
      <c r="N26" s="286"/>
      <c r="O26" s="286"/>
      <c r="P26" s="286"/>
    </row>
    <row r="27" spans="1:16" ht="14.1" customHeight="1" x14ac:dyDescent="0.2">
      <c r="A27" s="294"/>
      <c r="B27" s="270"/>
      <c r="C27" s="259" t="s">
        <v>8</v>
      </c>
      <c r="D27" s="247">
        <f>INDEX([2]Kraje!B59:AK59,1,3*T!$A$4-2)</f>
        <v>38945</v>
      </c>
      <c r="E27" s="98">
        <f>INDEX([2]Kraje!C59:AL59,1,3*T!$A$4-2)</f>
        <v>29231.574355203127</v>
      </c>
      <c r="F27" s="98">
        <f>INDEX([2]Kraje!D59:AM59,1,3*T!$A$4-2)</f>
        <v>310236.32357085904</v>
      </c>
      <c r="G27" s="336">
        <f>E27/$E$29</f>
        <v>0.23526287127804629</v>
      </c>
      <c r="H27" s="318">
        <f t="shared" si="5"/>
        <v>0.15249882988632518</v>
      </c>
      <c r="I27" s="285">
        <f>INDEX([4]Kraje!C59:AL59,1,3*T!$A$4-2)</f>
        <v>25363.647751457011</v>
      </c>
      <c r="J27" s="98">
        <f>INDEX([4]Kraje!D59:AM59,1,3*T!$A$4-2)</f>
        <v>268427.93757665722</v>
      </c>
      <c r="K27" s="354">
        <f t="shared" si="6"/>
        <v>0.22993156255711758</v>
      </c>
    </row>
    <row r="28" spans="1:16" ht="14.1" customHeight="1" x14ac:dyDescent="0.2">
      <c r="A28" s="294"/>
      <c r="B28" s="270"/>
      <c r="C28" s="259" t="s">
        <v>9</v>
      </c>
      <c r="D28" s="247">
        <f>INDEX([2]Kraje!B60:AK60,1,3*T!$A$4-2)</f>
        <v>390079</v>
      </c>
      <c r="E28" s="98">
        <f>INDEX([2]Kraje!C60:AL60,1,3*T!$A$4-2)</f>
        <v>42638.932365505483</v>
      </c>
      <c r="F28" s="98">
        <f>INDEX([2]Kraje!D60:AM60,1,3*T!$A$4-2)</f>
        <v>452529.35942898894</v>
      </c>
      <c r="G28" s="336">
        <f t="shared" si="4"/>
        <v>0.34316857294939673</v>
      </c>
      <c r="H28" s="318">
        <f t="shared" si="5"/>
        <v>0.13629259679612346</v>
      </c>
      <c r="I28" s="285">
        <f>INDEX([4]Kraje!C60:AL60,1,3*T!$A$4-2)</f>
        <v>37524.606325632754</v>
      </c>
      <c r="J28" s="98">
        <f>INDEX([4]Kraje!D60:AM60,1,3*T!$A$4-2)</f>
        <v>397129.49742360949</v>
      </c>
      <c r="K28" s="354">
        <f t="shared" si="6"/>
        <v>0.34017549255302987</v>
      </c>
    </row>
    <row r="29" spans="1:16" ht="14.1" customHeight="1" x14ac:dyDescent="0.2">
      <c r="A29" s="294"/>
      <c r="B29" s="270"/>
      <c r="C29" s="261" t="s">
        <v>2</v>
      </c>
      <c r="D29" s="255">
        <f>SUM(D25:D28)</f>
        <v>430824</v>
      </c>
      <c r="E29" s="253">
        <f>SUM(E25:E28)</f>
        <v>124250.69113713095</v>
      </c>
      <c r="F29" s="254">
        <f>SUM(F25:F28)</f>
        <v>1318697.6869998479</v>
      </c>
      <c r="G29" s="338">
        <f>SUM(G25:G28)</f>
        <v>1</v>
      </c>
      <c r="H29" s="320">
        <f t="shared" si="5"/>
        <v>0.12638197162792444</v>
      </c>
      <c r="I29" s="288">
        <f>SUM(I25:I28)</f>
        <v>110309.55241369439</v>
      </c>
      <c r="J29" s="254">
        <f>SUM(J25:J28)</f>
        <v>1167425.3620002668</v>
      </c>
      <c r="K29" s="356">
        <f>SUM(K25:K28)</f>
        <v>0.99999999999999978</v>
      </c>
    </row>
    <row r="30" spans="1:16" ht="12.95" customHeight="1" x14ac:dyDescent="0.2">
      <c r="A30" s="294"/>
      <c r="B30" s="270"/>
      <c r="C30" s="295"/>
      <c r="D30" s="296"/>
      <c r="E30" s="295"/>
      <c r="F30" s="295"/>
      <c r="G30" s="339"/>
      <c r="H30" s="321"/>
      <c r="I30" s="297"/>
      <c r="J30" s="298"/>
      <c r="K30" s="357"/>
    </row>
    <row r="31" spans="1:16" ht="12.95" customHeight="1" x14ac:dyDescent="0.2">
      <c r="A31" s="986" t="s">
        <v>242</v>
      </c>
      <c r="B31" s="986"/>
      <c r="C31" s="257"/>
      <c r="D31" s="256"/>
      <c r="E31" s="257"/>
      <c r="F31" s="257"/>
      <c r="G31" s="335"/>
      <c r="H31" s="366"/>
      <c r="I31" s="284"/>
      <c r="J31" s="257"/>
      <c r="K31" s="353"/>
    </row>
    <row r="32" spans="1:16" ht="14.1" customHeight="1" x14ac:dyDescent="0.2">
      <c r="A32" s="97"/>
      <c r="B32" s="97"/>
      <c r="C32" s="259" t="s">
        <v>6</v>
      </c>
      <c r="D32" s="247">
        <f>INDEX([2]Kraje!B63:AK63,1,3*T!$A$4-2)</f>
        <v>181</v>
      </c>
      <c r="E32" s="98">
        <f>INDEX([2]Kraje!C63:AL63,1,3*T!$A$4-2)</f>
        <v>47916.845000000001</v>
      </c>
      <c r="F32" s="98">
        <f>INDEX([2]Kraje!D63:AM63,1,3*T!$A$4-2)</f>
        <v>509690.10971799958</v>
      </c>
      <c r="G32" s="336">
        <f>E32/$E$36</f>
        <v>0.41696718286141599</v>
      </c>
      <c r="H32" s="318">
        <f>(E32-I32)/I32</f>
        <v>3.8472409664289615E-2</v>
      </c>
      <c r="I32" s="285">
        <f>INDEX([4]Kraje!C63:AL63,1,3*T!$A$4-2)</f>
        <v>46141.663999999997</v>
      </c>
      <c r="J32" s="98">
        <f>INDEX([4]Kraje!D63:AM63,1,3*T!$A$4-2)</f>
        <v>490902.04020800005</v>
      </c>
      <c r="K32" s="354">
        <f>I32/$I$36</f>
        <v>0.43706237085149563</v>
      </c>
    </row>
    <row r="33" spans="1:11" ht="14.1" customHeight="1" x14ac:dyDescent="0.2">
      <c r="A33" s="97"/>
      <c r="B33" s="97"/>
      <c r="C33" s="259" t="s">
        <v>7</v>
      </c>
      <c r="D33" s="247">
        <f>INDEX([2]Kraje!B64:AK64,1,3*T!$A$4-2)</f>
        <v>652</v>
      </c>
      <c r="E33" s="98">
        <f>INDEX([2]Kraje!C64:AL64,1,3*T!$A$4-2)</f>
        <v>10793.6</v>
      </c>
      <c r="F33" s="98">
        <f>INDEX([2]Kraje!D64:AM64,1,3*T!$A$4-2)</f>
        <v>114815.51756599995</v>
      </c>
      <c r="G33" s="336">
        <f t="shared" ref="G33:G35" si="7">E33/$E$36</f>
        <v>9.3924735339586313E-2</v>
      </c>
      <c r="H33" s="318">
        <f t="shared" ref="H33:H36" si="8">(E33-I33)/I33</f>
        <v>0.15918121872113761</v>
      </c>
      <c r="I33" s="285">
        <f>INDEX([4]Kraje!C64:AL64,1,3*T!$A$4-2)</f>
        <v>9311.4</v>
      </c>
      <c r="J33" s="98">
        <f>INDEX([4]Kraje!D64:AM64,1,3*T!$A$4-2)</f>
        <v>99059.76145599992</v>
      </c>
      <c r="K33" s="354">
        <f t="shared" ref="K33:K35" si="9">I33/$I$36</f>
        <v>8.8199302043953515E-2</v>
      </c>
    </row>
    <row r="34" spans="1:11" ht="14.1" customHeight="1" x14ac:dyDescent="0.2">
      <c r="A34" s="294"/>
      <c r="B34" s="270"/>
      <c r="C34" s="259" t="s">
        <v>8</v>
      </c>
      <c r="D34" s="247">
        <f>INDEX([2]Kraje!B65:AK65,1,3*T!$A$4-2)</f>
        <v>17979</v>
      </c>
      <c r="E34" s="98">
        <f>INDEX([2]Kraje!C65:AL65,1,3*T!$A$4-2)</f>
        <v>16148.8</v>
      </c>
      <c r="F34" s="98">
        <f>INDEX([2]Kraje!D65:AM65,1,3*T!$A$4-2)</f>
        <v>171781.1</v>
      </c>
      <c r="G34" s="336">
        <f t="shared" si="7"/>
        <v>0.14052510432588861</v>
      </c>
      <c r="H34" s="318">
        <f t="shared" si="8"/>
        <v>0.1176800359898951</v>
      </c>
      <c r="I34" s="285">
        <f>INDEX([4]Kraje!C65:AL65,1,3*T!$A$4-2)</f>
        <v>14448.5</v>
      </c>
      <c r="J34" s="98">
        <f>INDEX([4]Kraje!D65:AM65,1,3*T!$A$4-2)</f>
        <v>153712</v>
      </c>
      <c r="K34" s="354">
        <f t="shared" si="9"/>
        <v>0.13685886285435728</v>
      </c>
    </row>
    <row r="35" spans="1:11" ht="14.1" customHeight="1" x14ac:dyDescent="0.2">
      <c r="A35" s="294"/>
      <c r="B35" s="270"/>
      <c r="C35" s="259" t="s">
        <v>9</v>
      </c>
      <c r="D35" s="247">
        <f>INDEX([2]Kraje!B66:AK66,1,3*T!$A$4-2)</f>
        <v>234865</v>
      </c>
      <c r="E35" s="98">
        <f>INDEX([2]Kraje!C66:AL66,1,3*T!$A$4-2)</f>
        <v>40058.300000000003</v>
      </c>
      <c r="F35" s="98">
        <f>INDEX([2]Kraje!D66:AM66,1,3*T!$A$4-2)</f>
        <v>426115.8</v>
      </c>
      <c r="G35" s="336">
        <f t="shared" si="7"/>
        <v>0.34858297747310912</v>
      </c>
      <c r="H35" s="318">
        <f t="shared" si="8"/>
        <v>0.12300291275472604</v>
      </c>
      <c r="I35" s="285">
        <f>INDEX([4]Kraje!C66:AL66,1,3*T!$A$4-2)</f>
        <v>35670.699999999997</v>
      </c>
      <c r="J35" s="98">
        <f>INDEX([4]Kraje!D66:AM66,1,3*T!$A$4-2)</f>
        <v>379486.1</v>
      </c>
      <c r="K35" s="354">
        <f t="shared" si="9"/>
        <v>0.33787946425019361</v>
      </c>
    </row>
    <row r="36" spans="1:11" ht="14.1" customHeight="1" x14ac:dyDescent="0.2">
      <c r="A36" s="294"/>
      <c r="B36" s="270"/>
      <c r="C36" s="261" t="s">
        <v>2</v>
      </c>
      <c r="D36" s="255">
        <f>SUM(D32:D35)</f>
        <v>253677</v>
      </c>
      <c r="E36" s="253">
        <f>SUM(E32:E35)</f>
        <v>114917.545</v>
      </c>
      <c r="F36" s="254">
        <f>SUM(F32:F35)</f>
        <v>1222402.5272839996</v>
      </c>
      <c r="G36" s="338">
        <f>SUM(G32:G35)</f>
        <v>1</v>
      </c>
      <c r="H36" s="320">
        <f t="shared" si="8"/>
        <v>8.8520229138971604E-2</v>
      </c>
      <c r="I36" s="288">
        <f>SUM(I32:I35)</f>
        <v>105572.264</v>
      </c>
      <c r="J36" s="254">
        <f>SUM(J32:J35)</f>
        <v>1123159.901664</v>
      </c>
      <c r="K36" s="356">
        <f>SUM(K32:K35)</f>
        <v>1</v>
      </c>
    </row>
    <row r="37" spans="1:11" ht="12.95" customHeight="1" x14ac:dyDescent="0.2">
      <c r="A37" s="294"/>
      <c r="B37" s="270"/>
      <c r="C37" s="295"/>
      <c r="D37" s="296"/>
      <c r="E37" s="295"/>
      <c r="F37" s="295"/>
      <c r="G37" s="339"/>
      <c r="H37" s="321"/>
      <c r="I37" s="297"/>
      <c r="J37" s="298"/>
      <c r="K37" s="357"/>
    </row>
    <row r="38" spans="1:11" ht="12.95" customHeight="1" x14ac:dyDescent="0.2">
      <c r="A38" s="986" t="s">
        <v>243</v>
      </c>
      <c r="B38" s="986"/>
      <c r="C38" s="257"/>
      <c r="D38" s="256"/>
      <c r="E38" s="257"/>
      <c r="F38" s="257"/>
      <c r="G38" s="335"/>
      <c r="H38" s="366"/>
      <c r="I38" s="284"/>
      <c r="J38" s="257"/>
      <c r="K38" s="353"/>
    </row>
    <row r="39" spans="1:11" ht="14.1" customHeight="1" x14ac:dyDescent="0.2">
      <c r="A39" s="97"/>
      <c r="B39" s="97"/>
      <c r="C39" s="259" t="s">
        <v>6</v>
      </c>
      <c r="D39" s="247">
        <f>INDEX([2]Kraje!B69:AK69,1,3*T!$A$4-2)</f>
        <v>131</v>
      </c>
      <c r="E39" s="98">
        <f>INDEX([2]Kraje!C69:AL69,1,3*T!$A$4-2)</f>
        <v>57220.86</v>
      </c>
      <c r="F39" s="98">
        <f>INDEX([2]Kraje!D69:AM69,1,3*T!$A$4-2)</f>
        <v>608573.19798600033</v>
      </c>
      <c r="G39" s="336">
        <f>E39/$E$43</f>
        <v>0.61426841859713177</v>
      </c>
      <c r="H39" s="318">
        <f>(E39-I39)/I39</f>
        <v>0.19236068781298987</v>
      </c>
      <c r="I39" s="285">
        <f>INDEX([4]Kraje!C69:AL69,1,3*T!$A$4-2)</f>
        <v>47989.556000000004</v>
      </c>
      <c r="J39" s="98">
        <f>INDEX([4]Kraje!D69:AM69,1,3*T!$A$4-2)</f>
        <v>510399.0770990001</v>
      </c>
      <c r="K39" s="354">
        <f>I39/$I$43</f>
        <v>0.59953254268763667</v>
      </c>
    </row>
    <row r="40" spans="1:11" ht="14.1" customHeight="1" x14ac:dyDescent="0.2">
      <c r="A40" s="97"/>
      <c r="B40" s="97"/>
      <c r="C40" s="259" t="s">
        <v>7</v>
      </c>
      <c r="D40" s="247">
        <f>INDEX([2]Kraje!B70:AK70,1,3*T!$A$4-2)</f>
        <v>343</v>
      </c>
      <c r="E40" s="98">
        <f>INDEX([2]Kraje!C70:AL70,1,3*T!$A$4-2)</f>
        <v>5200.1000000000004</v>
      </c>
      <c r="F40" s="98">
        <f>INDEX([2]Kraje!D70:AM70,1,3*T!$A$4-2)</f>
        <v>55315.352717000038</v>
      </c>
      <c r="G40" s="336">
        <f t="shared" ref="G40:G41" si="10">E40/$E$43</f>
        <v>5.5823299467133929E-2</v>
      </c>
      <c r="H40" s="318">
        <f t="shared" ref="H40:H43" si="11">(E40-I40)/I40</f>
        <v>7.1831972957374882E-2</v>
      </c>
      <c r="I40" s="285">
        <f>INDEX([4]Kraje!C70:AL70,1,3*T!$A$4-2)</f>
        <v>4851.6000000000004</v>
      </c>
      <c r="J40" s="98">
        <f>INDEX([4]Kraje!D70:AM70,1,3*T!$A$4-2)</f>
        <v>51613.917480000026</v>
      </c>
      <c r="K40" s="354">
        <f t="shared" ref="K40:K42" si="12">I40/$I$43</f>
        <v>6.061093968244545E-2</v>
      </c>
    </row>
    <row r="41" spans="1:11" ht="14.1" customHeight="1" x14ac:dyDescent="0.2">
      <c r="A41" s="294"/>
      <c r="B41" s="270"/>
      <c r="C41" s="259" t="s">
        <v>8</v>
      </c>
      <c r="D41" s="247">
        <f>INDEX([2]Kraje!B71:AK71,1,3*T!$A$4-2)</f>
        <v>12369</v>
      </c>
      <c r="E41" s="98">
        <f>INDEX([2]Kraje!C71:AL71,1,3*T!$A$4-2)</f>
        <v>9477</v>
      </c>
      <c r="F41" s="98">
        <f>INDEX([2]Kraje!D71:AM71,1,3*T!$A$4-2)</f>
        <v>100810.6</v>
      </c>
      <c r="G41" s="336">
        <f t="shared" si="10"/>
        <v>0.10173600681718201</v>
      </c>
      <c r="H41" s="318">
        <f t="shared" si="11"/>
        <v>0.1266584240810309</v>
      </c>
      <c r="I41" s="285">
        <f>INDEX([4]Kraje!C71:AL71,1,3*T!$A$4-2)</f>
        <v>8411.6</v>
      </c>
      <c r="J41" s="98">
        <f>INDEX([4]Kraje!D71:AM71,1,3*T!$A$4-2)</f>
        <v>89487.5</v>
      </c>
      <c r="K41" s="354">
        <f t="shared" si="12"/>
        <v>0.10508594695211027</v>
      </c>
    </row>
    <row r="42" spans="1:11" ht="14.1" customHeight="1" x14ac:dyDescent="0.2">
      <c r="A42" s="294"/>
      <c r="B42" s="270"/>
      <c r="C42" s="259" t="s">
        <v>9</v>
      </c>
      <c r="D42" s="247">
        <f>INDEX([2]Kraje!B72:AK72,1,3*T!$A$4-2)</f>
        <v>214274</v>
      </c>
      <c r="E42" s="98">
        <f>INDEX([2]Kraje!C72:AL72,1,3*T!$A$4-2)</f>
        <v>21254.9</v>
      </c>
      <c r="F42" s="98">
        <f>INDEX([2]Kraje!D72:AM72,1,3*T!$A$4-2)</f>
        <v>226096.8</v>
      </c>
      <c r="G42" s="336">
        <f>E42/$E$43</f>
        <v>0.22817227511855251</v>
      </c>
      <c r="H42" s="318">
        <f t="shared" si="11"/>
        <v>0.13104905226636587</v>
      </c>
      <c r="I42" s="285">
        <f>INDEX([4]Kraje!C72:AL72,1,3*T!$A$4-2)</f>
        <v>18792.2</v>
      </c>
      <c r="J42" s="98">
        <f>INDEX([4]Kraje!D72:AM72,1,3*T!$A$4-2)</f>
        <v>199922.1</v>
      </c>
      <c r="K42" s="354">
        <f t="shared" si="12"/>
        <v>0.2347705706778076</v>
      </c>
    </row>
    <row r="43" spans="1:11" ht="14.1" customHeight="1" x14ac:dyDescent="0.2">
      <c r="A43" s="294"/>
      <c r="B43" s="270"/>
      <c r="C43" s="261" t="s">
        <v>2</v>
      </c>
      <c r="D43" s="255">
        <f>SUM(D39:D42)</f>
        <v>227117</v>
      </c>
      <c r="E43" s="253">
        <f>SUM(E39:E42)</f>
        <v>93152.859999999986</v>
      </c>
      <c r="F43" s="254">
        <f>SUM(F39:F42)</f>
        <v>990795.95070300042</v>
      </c>
      <c r="G43" s="338">
        <f>SUM(G39:G42)</f>
        <v>1.0000000000000002</v>
      </c>
      <c r="H43" s="320">
        <f t="shared" si="11"/>
        <v>0.16375677687923246</v>
      </c>
      <c r="I43" s="288">
        <f>SUM(I39:I42)</f>
        <v>80044.956000000006</v>
      </c>
      <c r="J43" s="254">
        <f>SUM(J39:J42)</f>
        <v>851422.59457900014</v>
      </c>
      <c r="K43" s="356">
        <f>SUM(K39:K42)</f>
        <v>1</v>
      </c>
    </row>
    <row r="44" spans="1:11" ht="12.95" customHeight="1" x14ac:dyDescent="0.2">
      <c r="A44" s="294"/>
      <c r="B44" s="270"/>
      <c r="C44" s="295"/>
      <c r="D44" s="296"/>
      <c r="E44" s="295"/>
      <c r="F44" s="295"/>
      <c r="G44" s="339"/>
      <c r="H44" s="321"/>
      <c r="I44" s="297"/>
      <c r="J44" s="298"/>
      <c r="K44" s="357"/>
    </row>
    <row r="45" spans="1:11" ht="12.95" customHeight="1" x14ac:dyDescent="0.2">
      <c r="A45" s="986" t="s">
        <v>244</v>
      </c>
      <c r="B45" s="986"/>
      <c r="C45" s="257"/>
      <c r="D45" s="256"/>
      <c r="E45" s="257"/>
      <c r="F45" s="257"/>
      <c r="G45" s="335"/>
      <c r="H45" s="366"/>
      <c r="I45" s="284"/>
      <c r="J45" s="257"/>
      <c r="K45" s="353"/>
    </row>
    <row r="46" spans="1:11" ht="14.1" customHeight="1" x14ac:dyDescent="0.2">
      <c r="A46" s="97"/>
      <c r="B46" s="97"/>
      <c r="C46" s="259" t="s">
        <v>6</v>
      </c>
      <c r="D46" s="247">
        <f>INDEX([2]Kraje!B75:AK75,1,3*T!$A$4-2)</f>
        <v>97</v>
      </c>
      <c r="E46" s="98">
        <f>INDEX([2]Kraje!C75:AL75,1,3*T!$A$4-2)</f>
        <v>13037.625</v>
      </c>
      <c r="F46" s="98">
        <f>INDEX([2]Kraje!D75:AM75,1,3*T!$A$4-2)</f>
        <v>138651.78842800006</v>
      </c>
      <c r="G46" s="336">
        <f>E46/$E$50</f>
        <v>0.29742921646044079</v>
      </c>
      <c r="H46" s="318">
        <f>(E46-I46)/I46</f>
        <v>-8.7916008625800846E-2</v>
      </c>
      <c r="I46" s="285">
        <f>INDEX([4]Kraje!C75:AL75,1,3*T!$A$4-2)</f>
        <v>14294.325000000001</v>
      </c>
      <c r="J46" s="98">
        <f>INDEX([4]Kraje!D75:AM75,1,3*T!$A$4-2)</f>
        <v>152103.67914299999</v>
      </c>
      <c r="K46" s="354">
        <f>I46/$I$50</f>
        <v>0.33675876796211085</v>
      </c>
    </row>
    <row r="47" spans="1:11" ht="14.1" customHeight="1" x14ac:dyDescent="0.2">
      <c r="A47" s="97"/>
      <c r="B47" s="97"/>
      <c r="C47" s="259" t="s">
        <v>7</v>
      </c>
      <c r="D47" s="247">
        <f>INDEX([2]Kraje!B76:AK76,1,3*T!$A$4-2)</f>
        <v>345</v>
      </c>
      <c r="E47" s="98">
        <f>INDEX([2]Kraje!C76:AL76,1,3*T!$A$4-2)</f>
        <v>4841.6939999999995</v>
      </c>
      <c r="F47" s="98">
        <f>INDEX([2]Kraje!D76:AM76,1,3*T!$A$4-2)</f>
        <v>51491.635300000016</v>
      </c>
      <c r="G47" s="336">
        <f t="shared" ref="G47:G49" si="13">E47/$E$50</f>
        <v>0.11045426239527653</v>
      </c>
      <c r="H47" s="318">
        <f t="shared" ref="H47:H50" si="14">(E47-I47)/I47</f>
        <v>0.106320408994254</v>
      </c>
      <c r="I47" s="285">
        <f>INDEX([4]Kraje!C76:AL76,1,3*T!$A$4-2)</f>
        <v>4376.3940000000002</v>
      </c>
      <c r="J47" s="98">
        <f>INDEX([4]Kraje!D76:AM76,1,3*T!$A$4-2)</f>
        <v>46566.710988000006</v>
      </c>
      <c r="K47" s="354">
        <f t="shared" ref="K47:K49" si="15">I47/$I$50</f>
        <v>0.10310308822254806</v>
      </c>
    </row>
    <row r="48" spans="1:11" ht="14.1" customHeight="1" x14ac:dyDescent="0.2">
      <c r="A48" s="294"/>
      <c r="B48" s="270"/>
      <c r="C48" s="259" t="s">
        <v>8</v>
      </c>
      <c r="D48" s="247">
        <f>INDEX([2]Kraje!B77:AK77,1,3*T!$A$4-2)</f>
        <v>10021</v>
      </c>
      <c r="E48" s="98">
        <f>INDEX([2]Kraje!C77:AL77,1,3*T!$A$4-2)</f>
        <v>8968.5423200000005</v>
      </c>
      <c r="F48" s="98">
        <f>INDEX([2]Kraje!D77:AM77,1,3*T!$A$4-2)</f>
        <v>95382.078972000003</v>
      </c>
      <c r="G48" s="336">
        <f t="shared" si="13"/>
        <v>0.20460064735946185</v>
      </c>
      <c r="H48" s="318">
        <f t="shared" si="14"/>
        <v>9.2237855066540822E-2</v>
      </c>
      <c r="I48" s="285">
        <f>INDEX([4]Kraje!C77:AL77,1,3*T!$A$4-2)</f>
        <v>8211.1623199999995</v>
      </c>
      <c r="J48" s="98">
        <f>INDEX([4]Kraje!D77:AM77,1,3*T!$A$4-2)</f>
        <v>87381.958568000002</v>
      </c>
      <c r="K48" s="354">
        <f t="shared" si="15"/>
        <v>0.19344606383443133</v>
      </c>
    </row>
    <row r="49" spans="1:11" ht="14.1" customHeight="1" x14ac:dyDescent="0.2">
      <c r="A49" s="294"/>
      <c r="B49" s="270"/>
      <c r="C49" s="259" t="s">
        <v>9</v>
      </c>
      <c r="D49" s="247">
        <f>INDEX([2]Kraje!B78:AK78,1,3*T!$A$4-2)</f>
        <v>105066</v>
      </c>
      <c r="E49" s="98">
        <f>INDEX([2]Kraje!C78:AL78,1,3*T!$A$4-2)</f>
        <v>16986.517680000001</v>
      </c>
      <c r="F49" s="98">
        <f>INDEX([2]Kraje!D78:AM78,1,3*T!$A$4-2)</f>
        <v>180651.34702800002</v>
      </c>
      <c r="G49" s="336">
        <f t="shared" si="13"/>
        <v>0.38751587378482083</v>
      </c>
      <c r="H49" s="318">
        <f t="shared" si="14"/>
        <v>9.1335004522818092E-2</v>
      </c>
      <c r="I49" s="285">
        <f>INDEX([4]Kraje!C78:AL78,1,3*T!$A$4-2)</f>
        <v>15564.89768</v>
      </c>
      <c r="J49" s="98">
        <f>INDEX([4]Kraje!D78:AM78,1,3*T!$A$4-2)</f>
        <v>165644.38543199998</v>
      </c>
      <c r="K49" s="354">
        <f t="shared" si="15"/>
        <v>0.36669207998090975</v>
      </c>
    </row>
    <row r="50" spans="1:11" ht="14.1" customHeight="1" x14ac:dyDescent="0.2">
      <c r="A50" s="294"/>
      <c r="B50" s="270"/>
      <c r="C50" s="261" t="s">
        <v>2</v>
      </c>
      <c r="D50" s="255">
        <f>SUM(D46:D49)</f>
        <v>115529</v>
      </c>
      <c r="E50" s="253">
        <f>SUM(E46:E49)</f>
        <v>43834.379000000001</v>
      </c>
      <c r="F50" s="254">
        <f>SUM(F46:F49)</f>
        <v>466176.84972800012</v>
      </c>
      <c r="G50" s="338">
        <f>SUM(G46:G49)</f>
        <v>1</v>
      </c>
      <c r="H50" s="320">
        <f t="shared" si="14"/>
        <v>3.2690348542111961E-2</v>
      </c>
      <c r="I50" s="288">
        <f>SUM(I46:I49)</f>
        <v>42446.779000000002</v>
      </c>
      <c r="J50" s="254">
        <f>SUM(J46:J49)</f>
        <v>451696.73413099995</v>
      </c>
      <c r="K50" s="356">
        <f>SUM(K46:K49)</f>
        <v>1</v>
      </c>
    </row>
    <row r="51" spans="1:11" ht="12.95" customHeight="1" x14ac:dyDescent="0.2">
      <c r="A51" s="294"/>
      <c r="B51" s="270"/>
      <c r="C51" s="295"/>
      <c r="D51" s="296"/>
      <c r="E51" s="295"/>
      <c r="F51" s="295"/>
      <c r="G51" s="339"/>
      <c r="H51" s="321"/>
      <c r="I51" s="297"/>
      <c r="J51" s="298"/>
      <c r="K51" s="357"/>
    </row>
    <row r="52" spans="1:11" ht="12.95" customHeight="1" x14ac:dyDescent="0.2">
      <c r="A52" s="986" t="s">
        <v>245</v>
      </c>
      <c r="B52" s="986"/>
      <c r="C52" s="257"/>
      <c r="D52" s="256"/>
      <c r="E52" s="257"/>
      <c r="F52" s="257"/>
      <c r="G52" s="335"/>
      <c r="H52" s="366"/>
      <c r="I52" s="284"/>
      <c r="J52" s="257"/>
      <c r="K52" s="353"/>
    </row>
    <row r="53" spans="1:11" ht="14.1" customHeight="1" x14ac:dyDescent="0.2">
      <c r="A53" s="97"/>
      <c r="B53" s="97"/>
      <c r="C53" s="259" t="s">
        <v>6</v>
      </c>
      <c r="D53" s="247">
        <f>INDEX([2]Kraje!B81:AK81,1,3*T!$A$4-2)</f>
        <v>72</v>
      </c>
      <c r="E53" s="98">
        <f>INDEX([2]Kraje!C81:AL81,1,3*T!$A$4-2)</f>
        <v>14676.8</v>
      </c>
      <c r="F53" s="98">
        <f>INDEX([2]Kraje!D81:AM81,1,3*T!$A$4-2)</f>
        <v>156123.07934200001</v>
      </c>
      <c r="G53" s="336">
        <f>E53/$E$57</f>
        <v>0.28358226258332525</v>
      </c>
      <c r="H53" s="318">
        <f>(E53-I53)/I53</f>
        <v>-4.0060696042330257E-2</v>
      </c>
      <c r="I53" s="285">
        <f>INDEX([4]Kraje!C81:AL81,1,3*T!$A$4-2)</f>
        <v>15289.3</v>
      </c>
      <c r="J53" s="98">
        <f>INDEX([4]Kraje!D81:AM81,1,3*T!$A$4-2)</f>
        <v>162656.72427200002</v>
      </c>
      <c r="K53" s="354">
        <f>I53/$I$57</f>
        <v>0.31658732640218984</v>
      </c>
    </row>
    <row r="54" spans="1:11" ht="14.1" customHeight="1" x14ac:dyDescent="0.2">
      <c r="A54" s="97"/>
      <c r="B54" s="97"/>
      <c r="C54" s="259" t="s">
        <v>7</v>
      </c>
      <c r="D54" s="247">
        <f>INDEX([2]Kraje!B82:AK82,1,3*T!$A$4-2)</f>
        <v>354</v>
      </c>
      <c r="E54" s="98">
        <f>INDEX([2]Kraje!C82:AL82,1,3*T!$A$4-2)</f>
        <v>4670.5</v>
      </c>
      <c r="F54" s="98">
        <f>INDEX([2]Kraje!D82:AM82,1,3*T!$A$4-2)</f>
        <v>49681.890343999999</v>
      </c>
      <c r="G54" s="336">
        <f t="shared" ref="G54:G56" si="16">E54/$E$57</f>
        <v>9.024248864843977E-2</v>
      </c>
      <c r="H54" s="318">
        <f t="shared" ref="H54:H57" si="17">(E54-I54)/I54</f>
        <v>0.14020311508227143</v>
      </c>
      <c r="I54" s="285">
        <f>INDEX([4]Kraje!C82:AL82,1,3*T!$A$4-2)</f>
        <v>4096.2</v>
      </c>
      <c r="J54" s="98">
        <f>INDEX([4]Kraje!D82:AM82,1,3*T!$A$4-2)</f>
        <v>43577.668522000022</v>
      </c>
      <c r="K54" s="354">
        <f t="shared" ref="K54:K56" si="18">I54/$I$57</f>
        <v>8.4817814184341339E-2</v>
      </c>
    </row>
    <row r="55" spans="1:11" ht="14.1" customHeight="1" x14ac:dyDescent="0.2">
      <c r="A55" s="294"/>
      <c r="B55" s="270"/>
      <c r="C55" s="259" t="s">
        <v>8</v>
      </c>
      <c r="D55" s="247">
        <f>INDEX([2]Kraje!B83:AK83,1,3*T!$A$4-2)</f>
        <v>10413</v>
      </c>
      <c r="E55" s="98">
        <f>INDEX([2]Kraje!C83:AL83,1,3*T!$A$4-2)</f>
        <v>9951.9</v>
      </c>
      <c r="F55" s="98">
        <f>INDEX([2]Kraje!D83:AM83,1,3*T!$A$4-2)</f>
        <v>105862.5</v>
      </c>
      <c r="G55" s="336">
        <f t="shared" si="16"/>
        <v>0.19228866776156892</v>
      </c>
      <c r="H55" s="318">
        <f t="shared" si="17"/>
        <v>0.11544626144655287</v>
      </c>
      <c r="I55" s="285">
        <f>INDEX([4]Kraje!C83:AL83,1,3*T!$A$4-2)</f>
        <v>8921.9</v>
      </c>
      <c r="J55" s="98">
        <f>INDEX([4]Kraje!D83:AM83,1,3*T!$A$4-2)</f>
        <v>94916.800000000003</v>
      </c>
      <c r="K55" s="354">
        <f t="shared" si="18"/>
        <v>0.18474099320620943</v>
      </c>
    </row>
    <row r="56" spans="1:11" ht="14.1" customHeight="1" x14ac:dyDescent="0.2">
      <c r="A56" s="294"/>
      <c r="B56" s="270"/>
      <c r="C56" s="259" t="s">
        <v>9</v>
      </c>
      <c r="D56" s="247">
        <f>INDEX([2]Kraje!B84:AK84,1,3*T!$A$4-2)</f>
        <v>148318</v>
      </c>
      <c r="E56" s="98">
        <f>INDEX([2]Kraje!C84:AL84,1,3*T!$A$4-2)</f>
        <v>22455.8</v>
      </c>
      <c r="F56" s="98">
        <f>INDEX([2]Kraje!D84:AM84,1,3*T!$A$4-2)</f>
        <v>238871.9</v>
      </c>
      <c r="G56" s="336">
        <f t="shared" si="16"/>
        <v>0.43388658100666599</v>
      </c>
      <c r="H56" s="318">
        <f t="shared" si="17"/>
        <v>0.12353715220621705</v>
      </c>
      <c r="I56" s="285">
        <f>INDEX([4]Kraje!C84:AL84,1,3*T!$A$4-2)</f>
        <v>19986.7</v>
      </c>
      <c r="J56" s="98">
        <f>INDEX([4]Kraje!D84:AM84,1,3*T!$A$4-2)</f>
        <v>212630</v>
      </c>
      <c r="K56" s="354">
        <f t="shared" si="18"/>
        <v>0.41385386620725922</v>
      </c>
    </row>
    <row r="57" spans="1:11" ht="14.1" customHeight="1" x14ac:dyDescent="0.2">
      <c r="A57" s="294"/>
      <c r="B57" s="270"/>
      <c r="C57" s="261" t="s">
        <v>2</v>
      </c>
      <c r="D57" s="255">
        <f>SUM(D53:D56)</f>
        <v>159157</v>
      </c>
      <c r="E57" s="253">
        <f>SUM(E53:E56)</f>
        <v>51755</v>
      </c>
      <c r="F57" s="254">
        <f>SUM(F53:F56)</f>
        <v>550539.36968600005</v>
      </c>
      <c r="G57" s="338">
        <f>SUM(G53:G56)</f>
        <v>0.99999999999999989</v>
      </c>
      <c r="H57" s="320">
        <f t="shared" si="17"/>
        <v>7.1662998171619183E-2</v>
      </c>
      <c r="I57" s="288">
        <f>SUM(I53:I56)</f>
        <v>48294.100000000006</v>
      </c>
      <c r="J57" s="254">
        <f>SUM(J53:J56)</f>
        <v>513781.19279400003</v>
      </c>
      <c r="K57" s="356">
        <f>SUM(K53:K56)</f>
        <v>0.99999999999999978</v>
      </c>
    </row>
    <row r="58" spans="1:11" ht="12.95" customHeight="1" x14ac:dyDescent="0.2">
      <c r="A58" s="294"/>
      <c r="B58" s="270"/>
      <c r="C58" s="176"/>
      <c r="D58" s="299"/>
      <c r="E58" s="176"/>
      <c r="F58" s="176"/>
      <c r="G58" s="340"/>
      <c r="H58" s="322"/>
      <c r="I58" s="300"/>
      <c r="J58" s="301"/>
      <c r="K58" s="358"/>
    </row>
    <row r="59" spans="1:11" ht="15" customHeigh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 x14ac:dyDescent="0.2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 x14ac:dyDescent="0.2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 x14ac:dyDescent="0.2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 x14ac:dyDescent="0.2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 x14ac:dyDescent="0.2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 x14ac:dyDescent="0.2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 x14ac:dyDescent="0.2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 x14ac:dyDescent="0.2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 x14ac:dyDescent="0.2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 x14ac:dyDescent="0.2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 x14ac:dyDescent="0.2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 x14ac:dyDescent="0.2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 x14ac:dyDescent="0.2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 x14ac:dyDescent="0.2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 x14ac:dyDescent="0.2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 x14ac:dyDescent="0.2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 x14ac:dyDescent="0.2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 x14ac:dyDescent="0.2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 x14ac:dyDescent="0.2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 x14ac:dyDescent="0.2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 x14ac:dyDescent="0.2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 x14ac:dyDescent="0.2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 x14ac:dyDescent="0.2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 x14ac:dyDescent="0.2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 x14ac:dyDescent="0.2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 x14ac:dyDescent="0.2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 x14ac:dyDescent="0.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 x14ac:dyDescent="0.2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 x14ac:dyDescent="0.2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 x14ac:dyDescent="0.2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 x14ac:dyDescent="0.2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 x14ac:dyDescent="0.2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 x14ac:dyDescent="0.2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 x14ac:dyDescent="0.2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 x14ac:dyDescent="0.2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 x14ac:dyDescent="0.2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 x14ac:dyDescent="0.2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 x14ac:dyDescent="0.2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 x14ac:dyDescent="0.2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 x14ac:dyDescent="0.2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 x14ac:dyDescent="0.2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 x14ac:dyDescent="0.2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52:B52"/>
    <mergeCell ref="A10:B10"/>
    <mergeCell ref="A17:B17"/>
    <mergeCell ref="A24:B24"/>
    <mergeCell ref="A31:B31"/>
    <mergeCell ref="A38:B38"/>
    <mergeCell ref="A45:B45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22</vt:i4>
      </vt:variant>
    </vt:vector>
  </HeadingPairs>
  <TitlesOfParts>
    <vt:vector size="44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2015-04-09T09:57:06Z</cp:lastPrinted>
  <dcterms:created xsi:type="dcterms:W3CDTF">2010-02-15T08:19:53Z</dcterms:created>
  <dcterms:modified xsi:type="dcterms:W3CDTF">2015-04-16T11:48:21Z</dcterms:modified>
</cp:coreProperties>
</file>